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Personnalisés/GIRONDE THD/_contrats en attente validation/GTHD_Accès Collecte Activés_V2/"/>
    </mc:Choice>
  </mc:AlternateContent>
  <xr:revisionPtr revIDLastSave="2" documentId="11_BA5CC31CBC8F282603C8646F830845CA26932119" xr6:coauthVersionLast="47" xr6:coauthVersionMax="47" xr10:uidLastSave="{C4E4BD31-578E-42D6-B927-86D3E8B26C96}"/>
  <bookViews>
    <workbookView xWindow="28680" yWindow="-120" windowWidth="29040" windowHeight="15840" tabRatio="878" xr2:uid="{00000000-000D-0000-FFFF-FFFF00000000}"/>
  </bookViews>
  <sheets>
    <sheet name="page de garde" sheetId="62" r:id="rId1"/>
    <sheet name="Codification - type KO" sheetId="64" r:id="rId2"/>
    <sheet name="Cmd_Acces_Modif" sheetId="65" r:id="rId3"/>
    <sheet name="AR_Cmd_Acces_Modif" sheetId="66" r:id="rId4"/>
    <sheet name="CR_Cmd_Acces_Modif" sheetId="67" r:id="rId5"/>
    <sheet name="CR_MAD_Accès_Modif" sheetId="68" r:id="rId6"/>
    <sheet name="D%$&amp;01_DevSheet" sheetId="63" state="veryHidden" r:id="rId7"/>
  </sheets>
  <definedNames>
    <definedName name="_xlnm._FilterDatabase" localSheetId="1" hidden="1">'Codification - type KO'!$A$2:$H$12</definedName>
    <definedName name="Cmd" localSheetId="1">#REF!</definedName>
    <definedName name="Cmd" localSheetId="0">#REF!</definedName>
    <definedName name="Cmd">#REF!</definedName>
    <definedName name="_xlnm.Print_Titles" localSheetId="1">'Codification - type KO'!$2:$2</definedName>
    <definedName name="Interop" localSheetId="2">#REF!</definedName>
    <definedName name="Interop" localSheetId="1">#REF!</definedName>
    <definedName name="Interop" localSheetId="0">#REF!</definedName>
    <definedName name="Interop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63" l="1"/>
  <c r="G9" i="63"/>
  <c r="H9" i="63"/>
  <c r="I9" i="63"/>
  <c r="J9" i="63"/>
  <c r="K9" i="63"/>
  <c r="L9" i="63"/>
  <c r="M9" i="63"/>
  <c r="N9" i="63"/>
  <c r="O9" i="63"/>
  <c r="P9" i="63"/>
  <c r="Q9" i="63"/>
  <c r="R9" i="63"/>
  <c r="S9" i="63"/>
  <c r="T9" i="63"/>
  <c r="U9" i="63"/>
  <c r="V9" i="63"/>
  <c r="W9" i="63"/>
  <c r="X9" i="63"/>
  <c r="Y9" i="63"/>
  <c r="Z9" i="63"/>
  <c r="AA9" i="63"/>
  <c r="AB9" i="63"/>
  <c r="AC9" i="63"/>
  <c r="AD9" i="63"/>
  <c r="AE9" i="63"/>
  <c r="AF9" i="63"/>
  <c r="AG9" i="63"/>
  <c r="AH9" i="63"/>
  <c r="AI9" i="63"/>
  <c r="AJ9" i="63"/>
  <c r="AK9" i="63"/>
  <c r="AL9" i="63"/>
  <c r="AM9" i="63"/>
  <c r="AN9" i="63"/>
  <c r="AO9" i="63"/>
  <c r="AP9" i="63"/>
  <c r="AQ9" i="63"/>
  <c r="AR9" i="63"/>
  <c r="AS9" i="63"/>
  <c r="AT9" i="63"/>
  <c r="AU9" i="63"/>
  <c r="AV9" i="63"/>
  <c r="AW9" i="63"/>
  <c r="AX9" i="63"/>
  <c r="AY9" i="63"/>
  <c r="AZ9" i="63"/>
  <c r="BA9" i="63"/>
  <c r="BB9" i="63"/>
  <c r="BC9" i="63"/>
  <c r="BD9" i="63"/>
  <c r="BE9" i="63"/>
  <c r="BF9" i="63"/>
  <c r="BG9" i="63"/>
  <c r="BH9" i="63"/>
  <c r="BI9" i="63"/>
  <c r="BJ9" i="63"/>
  <c r="BK9" i="63"/>
  <c r="BL9" i="63"/>
  <c r="BM9" i="63"/>
  <c r="BN9" i="63"/>
  <c r="BO9" i="63"/>
  <c r="BP9" i="63"/>
  <c r="BQ9" i="63"/>
  <c r="BR9" i="63"/>
  <c r="BS9" i="63"/>
  <c r="BT9" i="63"/>
  <c r="BU9" i="63"/>
  <c r="BV9" i="63"/>
  <c r="BW9" i="63"/>
  <c r="BX9" i="63"/>
  <c r="BY9" i="63"/>
  <c r="BZ9" i="63"/>
  <c r="CA9" i="63"/>
  <c r="CB9" i="63"/>
  <c r="CC9" i="63"/>
  <c r="CD9" i="63"/>
  <c r="CE9" i="63"/>
  <c r="CF9" i="63"/>
  <c r="CG9" i="63"/>
  <c r="CH9" i="63"/>
  <c r="CI9" i="63"/>
  <c r="CJ9" i="63"/>
  <c r="CK9" i="63"/>
  <c r="CL9" i="63"/>
  <c r="CM9" i="63"/>
  <c r="CN9" i="63"/>
  <c r="CO9" i="63"/>
  <c r="CP9" i="63"/>
  <c r="CQ9" i="63"/>
  <c r="CR9" i="63"/>
  <c r="CS9" i="63"/>
  <c r="CT9" i="63"/>
  <c r="CU9" i="63"/>
  <c r="CV9" i="63"/>
  <c r="CW9" i="63"/>
  <c r="CX9" i="63"/>
  <c r="CY9" i="63"/>
  <c r="CZ9" i="63"/>
  <c r="DA9" i="63"/>
  <c r="DB9" i="63"/>
  <c r="DC9" i="63"/>
  <c r="DD9" i="63"/>
  <c r="DE9" i="63"/>
  <c r="DF9" i="63"/>
  <c r="DG9" i="63"/>
  <c r="DH9" i="63"/>
  <c r="DI9" i="63"/>
  <c r="DJ9" i="63"/>
  <c r="DK9" i="63"/>
  <c r="DL9" i="63"/>
  <c r="DM9" i="63"/>
  <c r="DN9" i="63"/>
  <c r="DO9" i="63"/>
  <c r="DP9" i="63"/>
  <c r="DQ9" i="63"/>
  <c r="DR9" i="63"/>
  <c r="DS9" i="63"/>
  <c r="DT9" i="63"/>
  <c r="DU9" i="63"/>
  <c r="DV9" i="63"/>
  <c r="DW9" i="63"/>
  <c r="DX9" i="63"/>
  <c r="DY9" i="63"/>
  <c r="DZ9" i="63"/>
  <c r="EA9" i="63"/>
  <c r="EB9" i="63"/>
  <c r="EC9" i="63"/>
  <c r="ED9" i="63"/>
  <c r="EE9" i="63"/>
  <c r="EF9" i="63"/>
  <c r="EG9" i="63"/>
  <c r="EH9" i="63"/>
  <c r="EI9" i="63"/>
  <c r="EJ9" i="63"/>
  <c r="EK9" i="63"/>
  <c r="EL9" i="63"/>
  <c r="EM9" i="63"/>
  <c r="EN9" i="63"/>
  <c r="EO9" i="63"/>
  <c r="EP9" i="63"/>
  <c r="EQ9" i="63"/>
  <c r="ER9" i="63"/>
  <c r="ES9" i="63"/>
  <c r="ET9" i="63"/>
  <c r="EU9" i="63"/>
  <c r="EV9" i="63"/>
  <c r="EW9" i="63"/>
  <c r="EX9" i="63"/>
  <c r="EY9" i="63"/>
  <c r="EZ9" i="63"/>
  <c r="FA9" i="63"/>
  <c r="FB9" i="63"/>
  <c r="FC9" i="63"/>
  <c r="FD9" i="63"/>
  <c r="FE9" i="63"/>
  <c r="FF9" i="63"/>
  <c r="FG9" i="63"/>
  <c r="FH9" i="63"/>
  <c r="FI9" i="63"/>
  <c r="FJ9" i="63"/>
  <c r="FK9" i="63"/>
  <c r="FL9" i="63"/>
  <c r="FM9" i="63"/>
  <c r="FN9" i="63"/>
  <c r="FO9" i="63"/>
  <c r="FP9" i="63"/>
  <c r="FQ9" i="63"/>
  <c r="FR9" i="63"/>
  <c r="FS9" i="63"/>
  <c r="FT9" i="63"/>
  <c r="FU9" i="63"/>
  <c r="FV9" i="63"/>
  <c r="FW9" i="63"/>
  <c r="FX9" i="63"/>
  <c r="FY9" i="63"/>
  <c r="FZ9" i="63"/>
  <c r="GA9" i="63"/>
  <c r="GB9" i="63"/>
  <c r="GC9" i="63"/>
  <c r="GD9" i="63"/>
  <c r="GE9" i="63"/>
  <c r="GF9" i="63"/>
  <c r="GG9" i="63"/>
  <c r="GH9" i="63"/>
  <c r="GI9" i="63"/>
  <c r="GJ9" i="63"/>
  <c r="GK9" i="63"/>
  <c r="GL9" i="63"/>
  <c r="GM9" i="63"/>
  <c r="GN9" i="63"/>
  <c r="GO9" i="63"/>
  <c r="GP9" i="63"/>
  <c r="GQ9" i="63"/>
  <c r="GR9" i="63"/>
  <c r="GS9" i="63"/>
  <c r="GT9" i="63"/>
  <c r="GU9" i="63"/>
  <c r="GV9" i="63"/>
  <c r="GW9" i="63"/>
  <c r="GX9" i="63"/>
  <c r="GY9" i="63"/>
  <c r="GZ9" i="63"/>
  <c r="HA9" i="63"/>
  <c r="HB9" i="63"/>
  <c r="HC9" i="63"/>
  <c r="HD9" i="63"/>
  <c r="HE9" i="63"/>
  <c r="HF9" i="63"/>
  <c r="HG9" i="63"/>
  <c r="HH9" i="63"/>
  <c r="HI9" i="63"/>
  <c r="HJ9" i="63"/>
  <c r="HK9" i="63"/>
  <c r="HL9" i="63"/>
  <c r="HM9" i="63"/>
  <c r="HN9" i="63"/>
  <c r="HO9" i="63"/>
  <c r="HP9" i="63"/>
  <c r="HQ9" i="63"/>
  <c r="HR9" i="63"/>
  <c r="HS9" i="63"/>
  <c r="HT9" i="63"/>
  <c r="HU9" i="63"/>
  <c r="HV9" i="63"/>
  <c r="HW9" i="63"/>
  <c r="HX9" i="63"/>
  <c r="HY9" i="63"/>
  <c r="HZ9" i="63"/>
  <c r="IA9" i="63"/>
  <c r="IB9" i="63"/>
  <c r="IC9" i="63"/>
  <c r="ID9" i="63"/>
  <c r="IE9" i="63"/>
  <c r="IF9" i="63"/>
  <c r="IG9" i="63"/>
  <c r="IH9" i="63"/>
  <c r="II9" i="63"/>
  <c r="IJ9" i="63"/>
  <c r="IK9" i="63"/>
  <c r="IL9" i="63"/>
  <c r="IM9" i="63"/>
  <c r="IN9" i="63"/>
  <c r="IO9" i="63"/>
  <c r="IP9" i="63"/>
  <c r="IQ9" i="63"/>
  <c r="IR9" i="63"/>
  <c r="IS9" i="63"/>
  <c r="IT9" i="63"/>
  <c r="IU9" i="63"/>
  <c r="IV9" i="63"/>
  <c r="F10" i="63"/>
  <c r="G10" i="63"/>
  <c r="H10" i="63"/>
  <c r="I10" i="63"/>
  <c r="J10" i="63"/>
  <c r="K10" i="63"/>
  <c r="L10" i="63"/>
  <c r="M10" i="63"/>
  <c r="N10" i="63"/>
  <c r="O10" i="63"/>
  <c r="P10" i="63"/>
  <c r="Q10" i="63"/>
  <c r="R10" i="63"/>
  <c r="S10" i="63"/>
  <c r="T10" i="63"/>
  <c r="U10" i="63"/>
  <c r="V10" i="63"/>
  <c r="W10" i="63"/>
  <c r="X10" i="63"/>
  <c r="Y10" i="63"/>
  <c r="Z10" i="63"/>
  <c r="AA10" i="63"/>
  <c r="AB10" i="63"/>
  <c r="AC10" i="63"/>
  <c r="AD10" i="63"/>
  <c r="AE10" i="63"/>
  <c r="AF10" i="63"/>
  <c r="AG10" i="63"/>
  <c r="AH10" i="63"/>
  <c r="AI10" i="63"/>
  <c r="AJ10" i="63"/>
  <c r="AK10" i="63"/>
  <c r="AL10" i="63"/>
  <c r="AM10" i="63"/>
  <c r="AN10" i="63"/>
  <c r="AO10" i="63"/>
  <c r="AP10" i="63"/>
  <c r="AQ10" i="63"/>
  <c r="AR10" i="63"/>
  <c r="AS10" i="63"/>
  <c r="AT10" i="63"/>
  <c r="AU10" i="63"/>
  <c r="AV10" i="63"/>
  <c r="AW10" i="63"/>
  <c r="AX10" i="63"/>
  <c r="AY10" i="63"/>
  <c r="AZ10" i="63"/>
  <c r="BA10" i="63"/>
  <c r="BB10" i="63"/>
  <c r="BC10" i="63"/>
  <c r="BD10" i="63"/>
  <c r="BE10" i="63"/>
  <c r="BF10" i="63"/>
  <c r="BG10" i="63"/>
  <c r="BH10" i="63"/>
  <c r="BI10" i="63"/>
  <c r="BJ10" i="63"/>
  <c r="BK10" i="63"/>
  <c r="BL10" i="63"/>
  <c r="BM10" i="63"/>
  <c r="BN10" i="63"/>
  <c r="BO10" i="63"/>
  <c r="BP10" i="63"/>
  <c r="BQ10" i="63"/>
  <c r="BR10" i="63"/>
  <c r="BS10" i="63"/>
  <c r="BT10" i="63"/>
  <c r="BU10" i="63"/>
  <c r="BV10" i="63"/>
  <c r="BW10" i="63"/>
  <c r="BX10" i="63"/>
  <c r="BY10" i="63"/>
  <c r="BZ10" i="63"/>
  <c r="CA10" i="63"/>
  <c r="CB10" i="63"/>
  <c r="CC10" i="63"/>
  <c r="CD10" i="63"/>
  <c r="CE10" i="63"/>
  <c r="CF10" i="63"/>
  <c r="CG10" i="63"/>
  <c r="CH10" i="63"/>
  <c r="CI10" i="63"/>
  <c r="CJ10" i="63"/>
  <c r="CK10" i="63"/>
  <c r="CL10" i="63"/>
  <c r="CM10" i="63"/>
  <c r="CN10" i="63"/>
  <c r="CO10" i="63"/>
  <c r="CP10" i="63"/>
  <c r="CQ10" i="63"/>
  <c r="CR10" i="63"/>
  <c r="CS10" i="63"/>
  <c r="CT10" i="63"/>
  <c r="CU10" i="63"/>
  <c r="CV10" i="63"/>
  <c r="CW10" i="63"/>
  <c r="CX10" i="63"/>
  <c r="CY10" i="63"/>
  <c r="CZ10" i="63"/>
  <c r="DA10" i="63"/>
  <c r="DB10" i="63"/>
  <c r="DC10" i="63"/>
  <c r="DD10" i="63"/>
  <c r="DE10" i="63"/>
  <c r="DF10" i="63"/>
  <c r="DG10" i="63"/>
  <c r="DH10" i="63"/>
  <c r="DI10" i="63"/>
  <c r="DJ10" i="63"/>
  <c r="DK10" i="63"/>
  <c r="DL10" i="63"/>
  <c r="DM10" i="63"/>
  <c r="DN10" i="63"/>
  <c r="DO10" i="63"/>
  <c r="DP10" i="63"/>
  <c r="DQ10" i="63"/>
  <c r="DR10" i="63"/>
  <c r="DS10" i="63"/>
  <c r="DT10" i="63"/>
  <c r="DU10" i="63"/>
  <c r="DV10" i="63"/>
  <c r="DW10" i="63"/>
  <c r="DX10" i="63"/>
  <c r="DY10" i="63"/>
  <c r="DZ10" i="63"/>
  <c r="EA10" i="63"/>
  <c r="EB10" i="63"/>
  <c r="EC10" i="63"/>
  <c r="ED10" i="63"/>
  <c r="EE10" i="63"/>
  <c r="EF10" i="63"/>
  <c r="EG10" i="63"/>
  <c r="EH10" i="63"/>
  <c r="EI10" i="63"/>
  <c r="EJ10" i="63"/>
  <c r="EK10" i="63"/>
  <c r="EL10" i="63"/>
  <c r="EM10" i="63"/>
  <c r="EN10" i="63"/>
  <c r="EO10" i="63"/>
  <c r="EP10" i="63"/>
  <c r="EQ10" i="63"/>
  <c r="ER10" i="63"/>
  <c r="ES10" i="63"/>
  <c r="ET10" i="63"/>
  <c r="EU10" i="63"/>
  <c r="EV10" i="63"/>
  <c r="EW10" i="63"/>
  <c r="EX10" i="63"/>
  <c r="EY10" i="63"/>
  <c r="EZ10" i="63"/>
  <c r="FA10" i="63"/>
  <c r="FB10" i="63"/>
  <c r="FC10" i="63"/>
  <c r="FD10" i="63"/>
  <c r="FE10" i="63"/>
  <c r="FF10" i="63"/>
  <c r="FG10" i="63"/>
  <c r="FH10" i="63"/>
  <c r="FI10" i="63"/>
  <c r="FJ10" i="63"/>
  <c r="FK10" i="63"/>
  <c r="FL10" i="63"/>
  <c r="FM10" i="63"/>
  <c r="FN10" i="63"/>
  <c r="FO10" i="63"/>
  <c r="FP10" i="63"/>
  <c r="FQ10" i="63"/>
  <c r="FR10" i="63"/>
  <c r="FS10" i="63"/>
  <c r="FT10" i="63"/>
  <c r="FU10" i="63"/>
  <c r="FV10" i="63"/>
  <c r="FW10" i="63"/>
  <c r="FX10" i="63"/>
  <c r="FY10" i="63"/>
  <c r="FZ10" i="63"/>
  <c r="GA10" i="63"/>
  <c r="GB10" i="63"/>
  <c r="GC10" i="63"/>
  <c r="GD10" i="63"/>
  <c r="GE10" i="63"/>
  <c r="GF10" i="63"/>
  <c r="GG10" i="63"/>
  <c r="GH10" i="63"/>
  <c r="GI10" i="63"/>
  <c r="GJ10" i="63"/>
  <c r="GK10" i="63"/>
  <c r="GL10" i="63"/>
  <c r="GM10" i="63"/>
  <c r="GN10" i="63"/>
  <c r="GO10" i="63"/>
  <c r="GP10" i="63"/>
  <c r="GQ10" i="63"/>
  <c r="GR10" i="63"/>
  <c r="GS10" i="63"/>
  <c r="GT10" i="63"/>
  <c r="GU10" i="63"/>
  <c r="GV10" i="63"/>
  <c r="GW10" i="63"/>
  <c r="GX10" i="63"/>
  <c r="GY10" i="63"/>
  <c r="GZ10" i="63"/>
  <c r="HA10" i="63"/>
  <c r="HB10" i="63"/>
  <c r="HC10" i="63"/>
  <c r="HD10" i="63"/>
  <c r="HE10" i="63"/>
  <c r="HF10" i="63"/>
  <c r="HG10" i="63"/>
  <c r="HH10" i="63"/>
  <c r="HI10" i="63"/>
  <c r="HJ10" i="63"/>
  <c r="HK10" i="63"/>
  <c r="HL10" i="63"/>
  <c r="HM10" i="63"/>
  <c r="HN10" i="63"/>
  <c r="HO10" i="63"/>
  <c r="HP10" i="63"/>
  <c r="HQ10" i="63"/>
  <c r="HR10" i="63"/>
  <c r="HS10" i="63"/>
  <c r="HT10" i="63"/>
  <c r="HU10" i="63"/>
  <c r="HV10" i="63"/>
  <c r="HW10" i="63"/>
  <c r="HX10" i="63"/>
  <c r="HY10" i="63"/>
  <c r="HZ10" i="63"/>
  <c r="IA10" i="63"/>
  <c r="IB10" i="63"/>
  <c r="IC10" i="63"/>
  <c r="ID10" i="63"/>
  <c r="IE10" i="63"/>
  <c r="IF10" i="63"/>
  <c r="IG10" i="63"/>
  <c r="IH10" i="63"/>
  <c r="II10" i="63"/>
  <c r="IJ10" i="63"/>
  <c r="IK10" i="63"/>
  <c r="IL10" i="63"/>
  <c r="IM10" i="63"/>
  <c r="IN10" i="63"/>
  <c r="IO10" i="63"/>
  <c r="IP10" i="63"/>
  <c r="IQ10" i="63"/>
  <c r="IR10" i="63"/>
  <c r="IS10" i="63"/>
  <c r="IT10" i="63"/>
  <c r="IU10" i="63"/>
  <c r="IV10" i="63"/>
  <c r="F11" i="63"/>
  <c r="G11" i="63"/>
  <c r="H11" i="63"/>
  <c r="I11" i="63"/>
  <c r="J11" i="63"/>
  <c r="K11" i="63"/>
  <c r="L11" i="63"/>
  <c r="M11" i="63"/>
  <c r="N11" i="63"/>
  <c r="O11" i="63"/>
  <c r="P11" i="63"/>
  <c r="Q11" i="63"/>
  <c r="R11" i="63"/>
  <c r="S11" i="63"/>
  <c r="T11" i="63"/>
  <c r="U11" i="63"/>
  <c r="V11" i="63"/>
  <c r="W11" i="63"/>
  <c r="X11" i="63"/>
  <c r="Y11" i="63"/>
  <c r="Z11" i="63"/>
  <c r="AA11" i="63"/>
  <c r="AB11" i="63"/>
  <c r="AC11" i="63"/>
  <c r="AD11" i="63"/>
  <c r="AE11" i="63"/>
  <c r="AF11" i="63"/>
  <c r="AG11" i="63"/>
  <c r="AH11" i="63"/>
  <c r="AI11" i="63"/>
  <c r="AJ11" i="63"/>
  <c r="AK11" i="63"/>
  <c r="AL11" i="63"/>
  <c r="AM11" i="63"/>
  <c r="AN11" i="63"/>
  <c r="AO11" i="63"/>
  <c r="AP11" i="63"/>
  <c r="AQ11" i="63"/>
  <c r="AR11" i="63"/>
  <c r="AS11" i="63"/>
  <c r="AT11" i="63"/>
  <c r="AU11" i="63"/>
  <c r="AV11" i="63"/>
  <c r="AW11" i="63"/>
  <c r="AX11" i="63"/>
  <c r="AY11" i="63"/>
  <c r="AZ11" i="63"/>
  <c r="BA11" i="63"/>
  <c r="BB11" i="63"/>
  <c r="BC11" i="63"/>
  <c r="BD11" i="63"/>
  <c r="BE11" i="63"/>
  <c r="BF11" i="63"/>
  <c r="BG11" i="63"/>
  <c r="BH11" i="63"/>
  <c r="BI11" i="63"/>
  <c r="BJ11" i="63"/>
  <c r="BK11" i="63"/>
  <c r="BL11" i="63"/>
  <c r="BM11" i="63"/>
  <c r="BN11" i="63"/>
  <c r="BO11" i="63"/>
  <c r="BP11" i="63"/>
  <c r="BQ11" i="63"/>
  <c r="BR11" i="63"/>
  <c r="BS11" i="63"/>
  <c r="BT11" i="63"/>
  <c r="BU11" i="63"/>
  <c r="BV11" i="63"/>
  <c r="BW11" i="63"/>
  <c r="BX11" i="63"/>
  <c r="BY11" i="63"/>
  <c r="BZ11" i="63"/>
  <c r="CA11" i="63"/>
  <c r="CB11" i="63"/>
  <c r="CC11" i="63"/>
  <c r="CD11" i="63"/>
  <c r="CE11" i="63"/>
  <c r="CF11" i="63"/>
  <c r="CG11" i="63"/>
  <c r="CH11" i="63"/>
  <c r="CI11" i="63"/>
  <c r="CJ11" i="63"/>
  <c r="CK11" i="63"/>
  <c r="CL11" i="63"/>
  <c r="CM11" i="63"/>
  <c r="CN11" i="63"/>
  <c r="CO11" i="63"/>
  <c r="CP11" i="63"/>
  <c r="CQ11" i="63"/>
  <c r="CR11" i="63"/>
  <c r="CS11" i="63"/>
  <c r="CT11" i="63"/>
  <c r="CU11" i="63"/>
  <c r="CV11" i="63"/>
  <c r="CW11" i="63"/>
  <c r="CX11" i="63"/>
  <c r="CY11" i="63"/>
  <c r="CZ11" i="63"/>
  <c r="DA11" i="63"/>
  <c r="DB11" i="63"/>
  <c r="DC11" i="63"/>
  <c r="DD11" i="63"/>
  <c r="DE11" i="63"/>
  <c r="DF11" i="63"/>
  <c r="DG11" i="63"/>
  <c r="DH11" i="63"/>
  <c r="DI11" i="63"/>
  <c r="DJ11" i="63"/>
  <c r="DK11" i="63"/>
  <c r="DL11" i="63"/>
  <c r="DM11" i="63"/>
  <c r="DN11" i="63"/>
  <c r="DO11" i="63"/>
  <c r="DP11" i="63"/>
  <c r="DQ11" i="63"/>
  <c r="DR11" i="63"/>
  <c r="DS11" i="63"/>
  <c r="DT11" i="63"/>
  <c r="DU11" i="63"/>
  <c r="DV11" i="63"/>
  <c r="DW11" i="63"/>
  <c r="DX11" i="63"/>
  <c r="DY11" i="63"/>
  <c r="DZ11" i="63"/>
  <c r="EA11" i="63"/>
  <c r="EB11" i="63"/>
  <c r="EC11" i="63"/>
  <c r="ED11" i="63"/>
  <c r="EE11" i="63"/>
  <c r="EF11" i="63"/>
  <c r="EG11" i="63"/>
  <c r="EH11" i="63"/>
  <c r="EI11" i="63"/>
  <c r="EJ11" i="63"/>
  <c r="EK11" i="63"/>
  <c r="EL11" i="63"/>
  <c r="EM11" i="63"/>
  <c r="EN11" i="63"/>
  <c r="EO11" i="63"/>
  <c r="EP11" i="63"/>
  <c r="EQ11" i="63"/>
  <c r="ER11" i="63"/>
  <c r="ES11" i="63"/>
  <c r="ET11" i="63"/>
  <c r="EU11" i="63"/>
  <c r="EV11" i="63"/>
  <c r="EW11" i="63"/>
  <c r="EX11" i="63"/>
  <c r="EY11" i="63"/>
  <c r="EZ11" i="63"/>
  <c r="FA11" i="63"/>
  <c r="FB11" i="63"/>
  <c r="FC11" i="63"/>
  <c r="FD11" i="63"/>
  <c r="FE11" i="63"/>
  <c r="FF11" i="63"/>
  <c r="FG11" i="63"/>
  <c r="FH11" i="63"/>
  <c r="FI11" i="63"/>
  <c r="FJ11" i="63"/>
  <c r="FK11" i="63"/>
  <c r="FL11" i="63"/>
  <c r="FM11" i="63"/>
  <c r="FN11" i="63"/>
  <c r="FO11" i="63"/>
  <c r="FP11" i="63"/>
  <c r="FQ11" i="63"/>
  <c r="FR11" i="63"/>
  <c r="FS11" i="63"/>
  <c r="FT11" i="63"/>
  <c r="FU11" i="63"/>
  <c r="FV11" i="63"/>
  <c r="FW11" i="63"/>
  <c r="FX11" i="63"/>
  <c r="FY11" i="63"/>
  <c r="FZ11" i="63"/>
  <c r="GA11" i="63"/>
  <c r="GB11" i="63"/>
  <c r="GC11" i="63"/>
  <c r="GD11" i="63"/>
  <c r="GE11" i="63"/>
  <c r="GF11" i="63"/>
  <c r="GG11" i="63"/>
  <c r="GH11" i="63"/>
  <c r="GI11" i="63"/>
  <c r="GJ11" i="63"/>
  <c r="GK11" i="63"/>
  <c r="GL11" i="63"/>
  <c r="GM11" i="63"/>
  <c r="GN11" i="63"/>
  <c r="GO11" i="63"/>
  <c r="GP11" i="63"/>
  <c r="GQ11" i="63"/>
  <c r="GR11" i="63"/>
  <c r="GS11" i="63"/>
  <c r="GT11" i="63"/>
  <c r="GU11" i="63"/>
  <c r="GV11" i="63"/>
  <c r="GW11" i="63"/>
  <c r="GX11" i="63"/>
  <c r="GY11" i="63"/>
  <c r="GZ11" i="63"/>
  <c r="HA11" i="63"/>
  <c r="HB11" i="63"/>
  <c r="HC11" i="63"/>
  <c r="HD11" i="63"/>
  <c r="HE11" i="63"/>
  <c r="HF11" i="63"/>
  <c r="HG11" i="63"/>
  <c r="HH11" i="63"/>
  <c r="HI11" i="63"/>
  <c r="HJ11" i="63"/>
  <c r="HK11" i="63"/>
  <c r="HL11" i="63"/>
  <c r="HM11" i="63"/>
  <c r="HN11" i="63"/>
  <c r="HO11" i="63"/>
  <c r="HP11" i="63"/>
  <c r="HQ11" i="63"/>
  <c r="HR11" i="63"/>
  <c r="HS11" i="63"/>
  <c r="HT11" i="63"/>
  <c r="HU11" i="63"/>
  <c r="HV11" i="63"/>
  <c r="HW11" i="63"/>
  <c r="HX11" i="63"/>
  <c r="HY11" i="63"/>
  <c r="HZ11" i="63"/>
  <c r="IA11" i="63"/>
  <c r="IB11" i="63"/>
  <c r="IC11" i="63"/>
  <c r="ID11" i="63"/>
  <c r="IE11" i="63"/>
  <c r="IF11" i="63"/>
  <c r="IG11" i="63"/>
  <c r="IH11" i="63"/>
  <c r="II11" i="63"/>
  <c r="IJ11" i="63"/>
  <c r="IK11" i="63"/>
  <c r="IL11" i="63"/>
  <c r="IM11" i="63"/>
  <c r="IN11" i="63"/>
  <c r="IO11" i="63"/>
  <c r="IP11" i="63"/>
  <c r="IQ11" i="63"/>
  <c r="IR11" i="63"/>
  <c r="IS11" i="63"/>
  <c r="IT11" i="63"/>
  <c r="IU11" i="63"/>
  <c r="IV11" i="63"/>
  <c r="F12" i="63"/>
  <c r="G12" i="63"/>
  <c r="H12" i="63"/>
  <c r="I12" i="63"/>
  <c r="J12" i="63"/>
  <c r="K12" i="63"/>
  <c r="L12" i="63"/>
  <c r="M12" i="63"/>
  <c r="N12" i="63"/>
  <c r="O12" i="63"/>
  <c r="P12" i="63"/>
  <c r="Q12" i="63"/>
  <c r="R12" i="63"/>
  <c r="S12" i="63"/>
  <c r="T12" i="63"/>
  <c r="U12" i="63"/>
  <c r="V12" i="63"/>
  <c r="W12" i="63"/>
  <c r="X12" i="63"/>
  <c r="Y12" i="63"/>
  <c r="Z12" i="63"/>
  <c r="AA12" i="63"/>
  <c r="AB12" i="63"/>
  <c r="AC12" i="63"/>
  <c r="AD12" i="63"/>
  <c r="AE12" i="63"/>
  <c r="AF12" i="63"/>
  <c r="AG12" i="63"/>
  <c r="AH12" i="63"/>
  <c r="AI12" i="63"/>
  <c r="AJ12" i="63"/>
  <c r="AK12" i="63"/>
  <c r="AL12" i="63"/>
  <c r="AM12" i="63"/>
  <c r="AN12" i="63"/>
  <c r="AO12" i="63"/>
  <c r="AP12" i="63"/>
  <c r="AQ12" i="63"/>
  <c r="AR12" i="63"/>
  <c r="AS12" i="63"/>
  <c r="AT12" i="63"/>
  <c r="AU12" i="63"/>
  <c r="AV12" i="63"/>
  <c r="AW12" i="63"/>
  <c r="AX12" i="63"/>
  <c r="AY12" i="63"/>
  <c r="AZ12" i="63"/>
  <c r="BA12" i="63"/>
  <c r="BB12" i="63"/>
  <c r="BC12" i="63"/>
  <c r="BD12" i="63"/>
  <c r="BE12" i="63"/>
  <c r="BF12" i="63"/>
  <c r="BG12" i="63"/>
  <c r="BH12" i="63"/>
  <c r="BI12" i="63"/>
  <c r="BJ12" i="63"/>
  <c r="BK12" i="63"/>
  <c r="BL12" i="63"/>
  <c r="BM12" i="63"/>
  <c r="BN12" i="63"/>
  <c r="BO12" i="63"/>
  <c r="BP12" i="63"/>
  <c r="BQ12" i="63"/>
  <c r="BR12" i="63"/>
  <c r="BS12" i="63"/>
  <c r="BT12" i="63"/>
  <c r="BU12" i="63"/>
  <c r="BV12" i="63"/>
  <c r="BW12" i="63"/>
  <c r="BX12" i="63"/>
  <c r="BY12" i="63"/>
  <c r="BZ12" i="63"/>
  <c r="CA12" i="63"/>
  <c r="CB12" i="63"/>
  <c r="CC12" i="63"/>
  <c r="CD12" i="63"/>
  <c r="CE12" i="63"/>
  <c r="CF12" i="63"/>
  <c r="CG12" i="63"/>
  <c r="CH12" i="63"/>
  <c r="CI12" i="63"/>
  <c r="CJ12" i="63"/>
  <c r="CK12" i="63"/>
  <c r="CL12" i="63"/>
  <c r="CM12" i="63"/>
  <c r="CN12" i="63"/>
  <c r="CO12" i="63"/>
  <c r="CP12" i="63"/>
  <c r="CQ12" i="63"/>
  <c r="CR12" i="63"/>
  <c r="CS12" i="63"/>
  <c r="CT12" i="63"/>
  <c r="CU12" i="63"/>
  <c r="CV12" i="63"/>
  <c r="CW12" i="63"/>
  <c r="CX12" i="63"/>
  <c r="CY12" i="63"/>
  <c r="CZ12" i="63"/>
  <c r="DA12" i="63"/>
  <c r="DB12" i="63"/>
  <c r="DC12" i="63"/>
  <c r="DD12" i="63"/>
  <c r="DE12" i="63"/>
  <c r="DF12" i="63"/>
  <c r="DG12" i="63"/>
  <c r="DH12" i="63"/>
  <c r="DI12" i="63"/>
  <c r="DJ12" i="63"/>
  <c r="DK12" i="63"/>
  <c r="DL12" i="63"/>
  <c r="DM12" i="63"/>
  <c r="DN12" i="63"/>
  <c r="DO12" i="63"/>
  <c r="DP12" i="63"/>
  <c r="DQ12" i="63"/>
  <c r="DR12" i="63"/>
  <c r="DS12" i="63"/>
  <c r="DT12" i="63"/>
  <c r="DU12" i="63"/>
  <c r="DV12" i="63"/>
  <c r="DW12" i="63"/>
  <c r="DX12" i="63"/>
  <c r="DY12" i="63"/>
  <c r="DZ12" i="63"/>
  <c r="EA12" i="63"/>
  <c r="EB12" i="63"/>
  <c r="EC12" i="63"/>
  <c r="ED12" i="63"/>
  <c r="EE12" i="63"/>
  <c r="EF12" i="63"/>
  <c r="EG12" i="63"/>
  <c r="EH12" i="63"/>
  <c r="EI12" i="63"/>
  <c r="EJ12" i="63"/>
  <c r="EK12" i="63"/>
  <c r="EL12" i="63"/>
  <c r="EM12" i="63"/>
  <c r="EN12" i="63"/>
  <c r="EO12" i="63"/>
  <c r="EP12" i="63"/>
  <c r="EQ12" i="63"/>
  <c r="ER12" i="63"/>
  <c r="ES12" i="63"/>
  <c r="ET12" i="63"/>
  <c r="EU12" i="63"/>
  <c r="EV12" i="63"/>
  <c r="EW12" i="63"/>
  <c r="EX12" i="63"/>
  <c r="EY12" i="63"/>
  <c r="EZ12" i="63"/>
  <c r="FA12" i="63"/>
  <c r="FB12" i="63"/>
  <c r="FC12" i="63"/>
  <c r="FD12" i="63"/>
  <c r="FE12" i="63"/>
  <c r="FF12" i="63"/>
  <c r="FG12" i="63"/>
  <c r="FH12" i="63"/>
  <c r="FI12" i="63"/>
  <c r="FJ12" i="63"/>
  <c r="FK12" i="63"/>
  <c r="FL12" i="63"/>
  <c r="FM12" i="63"/>
  <c r="FN12" i="63"/>
  <c r="FO12" i="63"/>
  <c r="FP12" i="63"/>
  <c r="FQ12" i="63"/>
  <c r="FR12" i="63"/>
  <c r="FS12" i="63"/>
  <c r="FT12" i="63"/>
  <c r="FU12" i="63"/>
  <c r="FV12" i="63"/>
  <c r="FW12" i="63"/>
  <c r="FX12" i="63"/>
  <c r="FY12" i="63"/>
  <c r="FZ12" i="63"/>
  <c r="GA12" i="63"/>
  <c r="GB12" i="63"/>
  <c r="GC12" i="63"/>
  <c r="GD12" i="63"/>
  <c r="GE12" i="63"/>
  <c r="GF12" i="63"/>
  <c r="GG12" i="63"/>
  <c r="GH12" i="63"/>
  <c r="GI12" i="63"/>
  <c r="GJ12" i="63"/>
  <c r="GK12" i="63"/>
  <c r="GL12" i="63"/>
  <c r="GM12" i="63"/>
  <c r="GN12" i="63"/>
  <c r="GO12" i="63"/>
  <c r="GP12" i="63"/>
  <c r="GQ12" i="63"/>
  <c r="GR12" i="63"/>
  <c r="GS12" i="63"/>
  <c r="GT12" i="63"/>
  <c r="GU12" i="63"/>
  <c r="GV12" i="63"/>
  <c r="GW12" i="63"/>
  <c r="GX12" i="63"/>
  <c r="GY12" i="63"/>
  <c r="GZ12" i="63"/>
  <c r="HA12" i="63"/>
  <c r="HB12" i="63"/>
  <c r="HC12" i="63"/>
  <c r="HD12" i="63"/>
  <c r="HE12" i="63"/>
  <c r="HF12" i="63"/>
  <c r="HG12" i="63"/>
  <c r="HH12" i="63"/>
  <c r="HI12" i="63"/>
  <c r="HJ12" i="63"/>
  <c r="HK12" i="63"/>
  <c r="HL12" i="63"/>
  <c r="HM12" i="63"/>
  <c r="HN12" i="63"/>
  <c r="HO12" i="63"/>
  <c r="HP12" i="63"/>
  <c r="HQ12" i="63"/>
  <c r="HR12" i="63"/>
  <c r="HS12" i="63"/>
  <c r="HT12" i="63"/>
  <c r="HU12" i="63"/>
  <c r="HV12" i="63"/>
  <c r="HW12" i="63"/>
  <c r="HX12" i="63"/>
  <c r="HY12" i="63"/>
  <c r="HZ12" i="63"/>
  <c r="IA12" i="63"/>
  <c r="IB12" i="63"/>
  <c r="IC12" i="63"/>
  <c r="ID12" i="63"/>
  <c r="IE12" i="63"/>
  <c r="IF12" i="63"/>
  <c r="IG12" i="63"/>
  <c r="IH12" i="63"/>
  <c r="II12" i="63"/>
  <c r="IJ12" i="63"/>
  <c r="IK12" i="63"/>
  <c r="IL12" i="63"/>
  <c r="IM12" i="63"/>
  <c r="IN12" i="63"/>
  <c r="IO12" i="63"/>
  <c r="IP12" i="63"/>
  <c r="IQ12" i="63"/>
  <c r="IR12" i="63"/>
  <c r="IS12" i="63"/>
  <c r="IT12" i="63"/>
  <c r="IU12" i="63"/>
  <c r="IV12" i="63"/>
  <c r="F13" i="63"/>
  <c r="G13" i="63"/>
  <c r="H13" i="63"/>
  <c r="I13" i="63"/>
  <c r="J13" i="63"/>
  <c r="K13" i="63"/>
  <c r="L13" i="63"/>
  <c r="M13" i="63"/>
  <c r="N13" i="63"/>
  <c r="O13" i="63"/>
  <c r="P13" i="63"/>
  <c r="Q13" i="63"/>
  <c r="R13" i="63"/>
  <c r="S13" i="63"/>
  <c r="T13" i="63"/>
  <c r="U13" i="63"/>
  <c r="V13" i="63"/>
  <c r="W13" i="63"/>
  <c r="X13" i="63"/>
  <c r="Y13" i="63"/>
  <c r="Z13" i="63"/>
  <c r="AA13" i="63"/>
  <c r="AB13" i="63"/>
  <c r="AC13" i="63"/>
  <c r="AD13" i="63"/>
  <c r="AE13" i="63"/>
  <c r="AF13" i="63"/>
  <c r="AG13" i="63"/>
  <c r="AH13" i="63"/>
  <c r="AI13" i="63"/>
  <c r="AJ13" i="63"/>
  <c r="AK13" i="63"/>
  <c r="AL13" i="63"/>
  <c r="AM13" i="63"/>
  <c r="AN13" i="63"/>
  <c r="AO13" i="63"/>
  <c r="AP13" i="63"/>
  <c r="AQ13" i="63"/>
  <c r="AR13" i="63"/>
  <c r="AS13" i="63"/>
  <c r="AT13" i="63"/>
  <c r="AU13" i="63"/>
  <c r="AV13" i="63"/>
  <c r="AW13" i="63"/>
  <c r="AX13" i="63"/>
  <c r="AY13" i="63"/>
  <c r="AZ13" i="63"/>
  <c r="BA13" i="63"/>
  <c r="BB13" i="63"/>
  <c r="BC13" i="63"/>
  <c r="BD13" i="63"/>
  <c r="BE13" i="63"/>
  <c r="BF13" i="63"/>
  <c r="BG13" i="63"/>
  <c r="BH13" i="63"/>
  <c r="BI13" i="63"/>
  <c r="BJ13" i="63"/>
  <c r="BK13" i="63"/>
  <c r="BL13" i="63"/>
  <c r="BM13" i="63"/>
  <c r="BN13" i="63"/>
  <c r="BO13" i="63"/>
  <c r="BP13" i="63"/>
  <c r="BQ13" i="63"/>
  <c r="BR13" i="63"/>
  <c r="BS13" i="63"/>
  <c r="BT13" i="63"/>
  <c r="BU13" i="63"/>
  <c r="BV13" i="63"/>
  <c r="BW13" i="63"/>
  <c r="BX13" i="63"/>
  <c r="BY13" i="63"/>
  <c r="BZ13" i="63"/>
  <c r="CA13" i="63"/>
  <c r="CB13" i="63"/>
  <c r="CC13" i="63"/>
  <c r="CD13" i="63"/>
  <c r="CE13" i="63"/>
  <c r="CF13" i="63"/>
  <c r="CG13" i="63"/>
  <c r="CH13" i="63"/>
  <c r="CI13" i="63"/>
  <c r="CJ13" i="63"/>
  <c r="CK13" i="63"/>
  <c r="CL13" i="63"/>
  <c r="CM13" i="63"/>
  <c r="CN13" i="63"/>
  <c r="CO13" i="63"/>
  <c r="CP13" i="63"/>
  <c r="CQ13" i="63"/>
  <c r="CR13" i="63"/>
  <c r="CS13" i="63"/>
  <c r="CT13" i="63"/>
  <c r="CU13" i="63"/>
  <c r="CV13" i="63"/>
  <c r="CW13" i="63"/>
  <c r="CX13" i="63"/>
  <c r="CY13" i="63"/>
  <c r="CZ13" i="63"/>
  <c r="DA13" i="63"/>
  <c r="DB13" i="63"/>
  <c r="DC13" i="63"/>
  <c r="DD13" i="63"/>
  <c r="DE13" i="63"/>
  <c r="DF13" i="63"/>
  <c r="DG13" i="63"/>
  <c r="DH13" i="63"/>
  <c r="DI13" i="63"/>
  <c r="DJ13" i="63"/>
  <c r="DK13" i="63"/>
  <c r="DL13" i="63"/>
  <c r="DM13" i="63"/>
  <c r="DN13" i="63"/>
  <c r="DO13" i="63"/>
  <c r="DP13" i="63"/>
  <c r="DQ13" i="63"/>
  <c r="DR13" i="63"/>
  <c r="DS13" i="63"/>
  <c r="DT13" i="63"/>
  <c r="DU13" i="63"/>
  <c r="DV13" i="63"/>
  <c r="DW13" i="63"/>
  <c r="DX13" i="63"/>
  <c r="DY13" i="63"/>
  <c r="DZ13" i="63"/>
  <c r="EA13" i="63"/>
  <c r="EB13" i="63"/>
  <c r="EC13" i="63"/>
  <c r="ED13" i="63"/>
  <c r="EE13" i="63"/>
  <c r="EF13" i="63"/>
  <c r="EG13" i="63"/>
  <c r="EH13" i="63"/>
  <c r="EI13" i="63"/>
  <c r="EJ13" i="63"/>
  <c r="EK13" i="63"/>
  <c r="EL13" i="63"/>
  <c r="EM13" i="63"/>
  <c r="EN13" i="63"/>
  <c r="EO13" i="63"/>
  <c r="EP13" i="63"/>
  <c r="EQ13" i="63"/>
  <c r="ER13" i="63"/>
  <c r="ES13" i="63"/>
  <c r="ET13" i="63"/>
  <c r="EU13" i="63"/>
  <c r="EV13" i="63"/>
  <c r="EW13" i="63"/>
  <c r="EX13" i="63"/>
  <c r="EY13" i="63"/>
  <c r="EZ13" i="63"/>
  <c r="FA13" i="63"/>
  <c r="FB13" i="63"/>
  <c r="FC13" i="63"/>
  <c r="FD13" i="63"/>
  <c r="FE13" i="63"/>
  <c r="FF13" i="63"/>
  <c r="FG13" i="63"/>
  <c r="FH13" i="63"/>
  <c r="FI13" i="63"/>
  <c r="FJ13" i="63"/>
  <c r="FK13" i="63"/>
  <c r="FL13" i="63"/>
  <c r="FM13" i="63"/>
  <c r="FN13" i="63"/>
  <c r="FO13" i="63"/>
  <c r="FP13" i="63"/>
  <c r="FQ13" i="63"/>
  <c r="FR13" i="63"/>
  <c r="FS13" i="63"/>
  <c r="FT13" i="63"/>
  <c r="FU13" i="63"/>
  <c r="FV13" i="63"/>
  <c r="FW13" i="63"/>
  <c r="FX13" i="63"/>
  <c r="FY13" i="63"/>
  <c r="FZ13" i="63"/>
  <c r="GA13" i="63"/>
  <c r="GB13" i="63"/>
  <c r="GC13" i="63"/>
  <c r="GD13" i="63"/>
  <c r="GE13" i="63"/>
  <c r="GF13" i="63"/>
  <c r="GG13" i="63"/>
  <c r="GH13" i="63"/>
  <c r="GI13" i="63"/>
  <c r="GJ13" i="63"/>
  <c r="GK13" i="63"/>
  <c r="GL13" i="63"/>
  <c r="GM13" i="63"/>
  <c r="GN13" i="63"/>
  <c r="GO13" i="63"/>
  <c r="GP13" i="63"/>
  <c r="GQ13" i="63"/>
  <c r="GR13" i="63"/>
  <c r="GS13" i="63"/>
  <c r="GT13" i="63"/>
  <c r="GU13" i="63"/>
  <c r="GV13" i="63"/>
  <c r="GW13" i="63"/>
  <c r="GX13" i="63"/>
  <c r="GY13" i="63"/>
  <c r="GZ13" i="63"/>
  <c r="HA13" i="63"/>
  <c r="HB13" i="63"/>
  <c r="HC13" i="63"/>
  <c r="HD13" i="63"/>
  <c r="HE13" i="63"/>
  <c r="HF13" i="63"/>
  <c r="HG13" i="63"/>
  <c r="HH13" i="63"/>
  <c r="HI13" i="63"/>
  <c r="HJ13" i="63"/>
  <c r="HK13" i="63"/>
  <c r="HL13" i="63"/>
  <c r="HM13" i="63"/>
  <c r="HN13" i="63"/>
  <c r="HO13" i="63"/>
  <c r="HP13" i="63"/>
  <c r="HQ13" i="63"/>
  <c r="HR13" i="63"/>
  <c r="HS13" i="63"/>
  <c r="HT13" i="63"/>
  <c r="HU13" i="63"/>
  <c r="HV13" i="63"/>
  <c r="HW13" i="63"/>
  <c r="HX13" i="63"/>
  <c r="HY13" i="63"/>
  <c r="HZ13" i="63"/>
  <c r="IA13" i="63"/>
  <c r="IB13" i="63"/>
  <c r="IC13" i="63"/>
  <c r="ID13" i="63"/>
  <c r="IE13" i="63"/>
  <c r="IF13" i="63"/>
  <c r="IG13" i="63"/>
  <c r="IH13" i="63"/>
  <c r="II13" i="63"/>
  <c r="IJ13" i="63"/>
  <c r="IK13" i="63"/>
  <c r="IL13" i="63"/>
  <c r="IM13" i="63"/>
  <c r="IN13" i="63"/>
  <c r="IO13" i="63"/>
  <c r="IP13" i="63"/>
  <c r="IQ13" i="63"/>
  <c r="IR13" i="63"/>
  <c r="IS13" i="63"/>
  <c r="IT13" i="63"/>
  <c r="IU13" i="63"/>
  <c r="IV13" i="63"/>
  <c r="F14" i="63"/>
  <c r="G14" i="63"/>
  <c r="H14" i="63"/>
  <c r="I14" i="63"/>
  <c r="J14" i="63"/>
  <c r="K14" i="63"/>
  <c r="L14" i="63"/>
  <c r="M14" i="63"/>
  <c r="N14" i="63"/>
  <c r="O14" i="63"/>
  <c r="P14" i="63"/>
  <c r="Q14" i="63"/>
  <c r="R14" i="63"/>
  <c r="S14" i="63"/>
  <c r="T14" i="63"/>
  <c r="U14" i="63"/>
  <c r="V14" i="63"/>
  <c r="W14" i="63"/>
  <c r="X14" i="63"/>
  <c r="Y14" i="63"/>
  <c r="Z14" i="63"/>
  <c r="AA14" i="63"/>
  <c r="AB14" i="63"/>
  <c r="AC14" i="63"/>
  <c r="AD14" i="63"/>
  <c r="AE14" i="63"/>
  <c r="AF14" i="63"/>
  <c r="AG14" i="63"/>
  <c r="AH14" i="63"/>
  <c r="AI14" i="63"/>
  <c r="AJ14" i="63"/>
  <c r="AK14" i="63"/>
  <c r="AL14" i="63"/>
  <c r="AM14" i="63"/>
  <c r="AN14" i="63"/>
  <c r="AO14" i="63"/>
  <c r="AP14" i="63"/>
  <c r="AQ14" i="63"/>
  <c r="AR14" i="63"/>
  <c r="AS14" i="63"/>
  <c r="AT14" i="63"/>
  <c r="AU14" i="63"/>
  <c r="AV14" i="63"/>
  <c r="AW14" i="63"/>
  <c r="AX14" i="63"/>
  <c r="AY14" i="63"/>
  <c r="AZ14" i="63"/>
  <c r="BA14" i="63"/>
  <c r="BB14" i="63"/>
  <c r="BC14" i="63"/>
  <c r="BD14" i="63"/>
  <c r="BE14" i="63"/>
  <c r="BF14" i="63"/>
  <c r="BG14" i="63"/>
  <c r="BH14" i="63"/>
  <c r="BI14" i="63"/>
  <c r="BJ14" i="63"/>
  <c r="BK14" i="63"/>
  <c r="BL14" i="63"/>
  <c r="BM14" i="63"/>
  <c r="BN14" i="63"/>
  <c r="BO14" i="63"/>
  <c r="BP14" i="63"/>
  <c r="BQ14" i="63"/>
  <c r="BR14" i="63"/>
  <c r="BS14" i="63"/>
  <c r="BT14" i="63"/>
  <c r="BU14" i="63"/>
  <c r="BV14" i="63"/>
  <c r="BW14" i="63"/>
  <c r="BX14" i="63"/>
  <c r="BY14" i="63"/>
  <c r="BZ14" i="63"/>
  <c r="CA14" i="63"/>
  <c r="CB14" i="63"/>
  <c r="CC14" i="63"/>
  <c r="CD14" i="63"/>
  <c r="CE14" i="63"/>
  <c r="CF14" i="63"/>
  <c r="CG14" i="63"/>
  <c r="CH14" i="63"/>
  <c r="CI14" i="63"/>
  <c r="CJ14" i="63"/>
  <c r="CK14" i="63"/>
  <c r="CL14" i="63"/>
  <c r="CM14" i="63"/>
  <c r="CN14" i="63"/>
  <c r="CO14" i="63"/>
  <c r="CP14" i="63"/>
  <c r="CQ14" i="63"/>
  <c r="CR14" i="63"/>
  <c r="CS14" i="63"/>
  <c r="CT14" i="63"/>
  <c r="CU14" i="63"/>
  <c r="CV14" i="63"/>
  <c r="CW14" i="63"/>
  <c r="CX14" i="63"/>
  <c r="CY14" i="63"/>
  <c r="CZ14" i="63"/>
  <c r="DA14" i="63"/>
  <c r="DB14" i="63"/>
  <c r="DC14" i="63"/>
  <c r="DD14" i="63"/>
  <c r="DE14" i="63"/>
  <c r="DF14" i="63"/>
  <c r="DG14" i="63"/>
  <c r="DH14" i="63"/>
  <c r="DI14" i="63"/>
  <c r="DJ14" i="63"/>
  <c r="DK14" i="63"/>
  <c r="DL14" i="63"/>
  <c r="DM14" i="63"/>
  <c r="DN14" i="63"/>
  <c r="DO14" i="63"/>
  <c r="DP14" i="63"/>
  <c r="DQ14" i="63"/>
  <c r="DR14" i="63"/>
  <c r="DS14" i="63"/>
  <c r="DT14" i="63"/>
  <c r="DU14" i="63"/>
  <c r="DV14" i="63"/>
  <c r="DW14" i="63"/>
  <c r="DX14" i="63"/>
  <c r="DY14" i="63"/>
  <c r="DZ14" i="63"/>
  <c r="EA14" i="63"/>
  <c r="EB14" i="63"/>
  <c r="EC14" i="63"/>
  <c r="ED14" i="63"/>
  <c r="EE14" i="63"/>
  <c r="EF14" i="63"/>
  <c r="EG14" i="63"/>
  <c r="EH14" i="63"/>
  <c r="EI14" i="63"/>
  <c r="EJ14" i="63"/>
  <c r="EK14" i="63"/>
  <c r="EL14" i="63"/>
  <c r="EM14" i="63"/>
  <c r="EN14" i="63"/>
  <c r="EO14" i="63"/>
  <c r="EP14" i="63"/>
  <c r="EQ14" i="63"/>
  <c r="ER14" i="63"/>
  <c r="ES14" i="63"/>
  <c r="ET14" i="63"/>
  <c r="EU14" i="63"/>
  <c r="EV14" i="63"/>
  <c r="EW14" i="63"/>
  <c r="EX14" i="63"/>
  <c r="EY14" i="63"/>
  <c r="EZ14" i="63"/>
  <c r="FA14" i="63"/>
  <c r="FB14" i="63"/>
  <c r="FC14" i="63"/>
  <c r="FD14" i="63"/>
  <c r="FE14" i="63"/>
  <c r="FF14" i="63"/>
  <c r="FG14" i="63"/>
  <c r="FH14" i="63"/>
  <c r="FI14" i="63"/>
  <c r="FJ14" i="63"/>
  <c r="FK14" i="63"/>
  <c r="FL14" i="63"/>
  <c r="FM14" i="63"/>
  <c r="FN14" i="63"/>
  <c r="FO14" i="63"/>
  <c r="FP14" i="63"/>
  <c r="FQ14" i="63"/>
  <c r="FR14" i="63"/>
  <c r="FS14" i="63"/>
  <c r="FT14" i="63"/>
  <c r="FU14" i="63"/>
  <c r="FV14" i="63"/>
  <c r="FW14" i="63"/>
  <c r="FX14" i="63"/>
  <c r="FY14" i="63"/>
  <c r="FZ14" i="63"/>
  <c r="GA14" i="63"/>
  <c r="GB14" i="63"/>
  <c r="GC14" i="63"/>
  <c r="GD14" i="63"/>
  <c r="GE14" i="63"/>
  <c r="GF14" i="63"/>
  <c r="GG14" i="63"/>
  <c r="GH14" i="63"/>
  <c r="GI14" i="63"/>
  <c r="GJ14" i="63"/>
  <c r="GK14" i="63"/>
  <c r="GL14" i="63"/>
  <c r="GM14" i="63"/>
  <c r="GN14" i="63"/>
  <c r="GO14" i="63"/>
  <c r="GP14" i="63"/>
  <c r="GQ14" i="63"/>
  <c r="GR14" i="63"/>
  <c r="GS14" i="63"/>
  <c r="GT14" i="63"/>
  <c r="GU14" i="63"/>
  <c r="GV14" i="63"/>
  <c r="GW14" i="63"/>
  <c r="GX14" i="63"/>
  <c r="GY14" i="63"/>
  <c r="GZ14" i="63"/>
  <c r="HA14" i="63"/>
  <c r="HB14" i="63"/>
  <c r="HC14" i="63"/>
  <c r="HD14" i="63"/>
  <c r="HE14" i="63"/>
  <c r="HF14" i="63"/>
  <c r="HG14" i="63"/>
  <c r="HH14" i="63"/>
  <c r="HI14" i="63"/>
  <c r="HJ14" i="63"/>
  <c r="HK14" i="63"/>
  <c r="HL14" i="63"/>
  <c r="HM14" i="63"/>
  <c r="HN14" i="63"/>
  <c r="HO14" i="63"/>
  <c r="HP14" i="63"/>
  <c r="HQ14" i="63"/>
  <c r="HR14" i="63"/>
  <c r="HS14" i="63"/>
  <c r="HT14" i="63"/>
  <c r="HU14" i="63"/>
  <c r="HV14" i="63"/>
  <c r="HW14" i="63"/>
  <c r="HX14" i="63"/>
  <c r="HY14" i="63"/>
  <c r="HZ14" i="63"/>
  <c r="IA14" i="63"/>
  <c r="IB14" i="63"/>
  <c r="IC14" i="63"/>
  <c r="ID14" i="63"/>
  <c r="IE14" i="63"/>
  <c r="IF14" i="63"/>
  <c r="IG14" i="63"/>
  <c r="IH14" i="63"/>
  <c r="II14" i="63"/>
  <c r="IJ14" i="63"/>
  <c r="IK14" i="63"/>
  <c r="IL14" i="63"/>
  <c r="IM14" i="63"/>
  <c r="IN14" i="63"/>
  <c r="IO14" i="63"/>
  <c r="IP14" i="63"/>
  <c r="IQ14" i="63"/>
  <c r="IR14" i="63"/>
  <c r="IS14" i="63"/>
  <c r="IT14" i="63"/>
  <c r="IU14" i="63"/>
  <c r="IV14" i="63"/>
  <c r="F15" i="63"/>
  <c r="G15" i="63"/>
  <c r="H15" i="63"/>
  <c r="I15" i="63"/>
  <c r="J15" i="63"/>
  <c r="K15" i="63"/>
  <c r="L15" i="63"/>
  <c r="M15" i="63"/>
  <c r="N15" i="63"/>
  <c r="O15" i="63"/>
  <c r="P15" i="63"/>
  <c r="Q15" i="63"/>
  <c r="R15" i="63"/>
  <c r="S15" i="63"/>
  <c r="T15" i="63"/>
  <c r="U15" i="63"/>
  <c r="V15" i="63"/>
  <c r="W15" i="63"/>
  <c r="X15" i="63"/>
  <c r="Y15" i="63"/>
  <c r="Z15" i="63"/>
  <c r="AA15" i="63"/>
  <c r="AB15" i="63"/>
  <c r="AC15" i="63"/>
  <c r="AD15" i="63"/>
  <c r="AE15" i="63"/>
  <c r="AF15" i="63"/>
  <c r="AG15" i="63"/>
  <c r="AH15" i="63"/>
  <c r="AI15" i="63"/>
  <c r="AJ15" i="63"/>
  <c r="AK15" i="63"/>
  <c r="AL15" i="63"/>
  <c r="AM15" i="63"/>
  <c r="AN15" i="63"/>
  <c r="AO15" i="63"/>
  <c r="AP15" i="63"/>
  <c r="AQ15" i="63"/>
  <c r="AR15" i="63"/>
  <c r="AS15" i="63"/>
  <c r="AT15" i="63"/>
  <c r="AU15" i="63"/>
  <c r="AV15" i="63"/>
  <c r="AW15" i="63"/>
  <c r="AX15" i="63"/>
  <c r="AY15" i="63"/>
  <c r="AZ15" i="63"/>
  <c r="BA15" i="63"/>
  <c r="BB15" i="63"/>
  <c r="BC15" i="63"/>
  <c r="BD15" i="63"/>
  <c r="BE15" i="63"/>
  <c r="BF15" i="63"/>
  <c r="BG15" i="63"/>
  <c r="BH15" i="63"/>
  <c r="BI15" i="63"/>
  <c r="BJ15" i="63"/>
  <c r="BK15" i="63"/>
  <c r="BL15" i="63"/>
  <c r="BM15" i="63"/>
  <c r="BN15" i="63"/>
  <c r="BO15" i="63"/>
  <c r="BP15" i="63"/>
  <c r="BQ15" i="63"/>
  <c r="BR15" i="63"/>
  <c r="BS15" i="63"/>
  <c r="BT15" i="63"/>
  <c r="BU15" i="63"/>
  <c r="BV15" i="63"/>
  <c r="BW15" i="63"/>
  <c r="BX15" i="63"/>
  <c r="BY15" i="63"/>
  <c r="BZ15" i="63"/>
  <c r="CA15" i="63"/>
  <c r="CB15" i="63"/>
  <c r="CC15" i="63"/>
  <c r="CD15" i="63"/>
  <c r="CE15" i="63"/>
  <c r="CF15" i="63"/>
  <c r="CG15" i="63"/>
  <c r="CH15" i="63"/>
  <c r="CI15" i="63"/>
  <c r="CJ15" i="63"/>
  <c r="CK15" i="63"/>
  <c r="CL15" i="63"/>
  <c r="CM15" i="63"/>
  <c r="CN15" i="63"/>
  <c r="CO15" i="63"/>
  <c r="CP15" i="63"/>
  <c r="CQ15" i="63"/>
  <c r="CR15" i="63"/>
  <c r="CS15" i="63"/>
  <c r="CT15" i="63"/>
  <c r="CU15" i="63"/>
  <c r="CV15" i="63"/>
  <c r="CW15" i="63"/>
  <c r="CX15" i="63"/>
  <c r="CY15" i="63"/>
  <c r="CZ15" i="63"/>
  <c r="DA15" i="63"/>
  <c r="DB15" i="63"/>
  <c r="DC15" i="63"/>
  <c r="DD15" i="63"/>
  <c r="DE15" i="63"/>
  <c r="DF15" i="63"/>
  <c r="DG15" i="63"/>
  <c r="DH15" i="63"/>
  <c r="DI15" i="63"/>
  <c r="DJ15" i="63"/>
  <c r="DK15" i="63"/>
  <c r="DL15" i="63"/>
  <c r="DM15" i="63"/>
  <c r="DN15" i="63"/>
  <c r="DO15" i="63"/>
  <c r="DP15" i="63"/>
  <c r="DQ15" i="63"/>
  <c r="DR15" i="63"/>
  <c r="DS15" i="63"/>
  <c r="DT15" i="63"/>
  <c r="DU15" i="63"/>
  <c r="DV15" i="63"/>
  <c r="DW15" i="63"/>
  <c r="DX15" i="63"/>
  <c r="DY15" i="63"/>
  <c r="DZ15" i="63"/>
  <c r="EA15" i="63"/>
  <c r="EB15" i="63"/>
  <c r="EC15" i="63"/>
  <c r="ED15" i="63"/>
  <c r="EE15" i="63"/>
  <c r="EF15" i="63"/>
  <c r="EG15" i="63"/>
  <c r="EH15" i="63"/>
  <c r="EI15" i="63"/>
  <c r="EJ15" i="63"/>
  <c r="EK15" i="63"/>
  <c r="EL15" i="63"/>
  <c r="EM15" i="63"/>
  <c r="EN15" i="63"/>
  <c r="EO15" i="63"/>
  <c r="EP15" i="63"/>
  <c r="EQ15" i="63"/>
  <c r="ER15" i="63"/>
  <c r="ES15" i="63"/>
  <c r="ET15" i="63"/>
  <c r="EU15" i="63"/>
  <c r="EV15" i="63"/>
  <c r="EW15" i="63"/>
  <c r="EX15" i="63"/>
  <c r="EY15" i="63"/>
  <c r="EZ15" i="63"/>
  <c r="FA15" i="63"/>
  <c r="FB15" i="63"/>
  <c r="FC15" i="63"/>
  <c r="FD15" i="63"/>
  <c r="FE15" i="63"/>
  <c r="FF15" i="63"/>
  <c r="FG15" i="63"/>
  <c r="FH15" i="63"/>
  <c r="FI15" i="63"/>
  <c r="FJ15" i="63"/>
  <c r="FK15" i="63"/>
  <c r="FL15" i="63"/>
  <c r="FM15" i="63"/>
  <c r="FN15" i="63"/>
  <c r="FO15" i="63"/>
  <c r="FP15" i="63"/>
  <c r="FQ15" i="63"/>
  <c r="FR15" i="63"/>
  <c r="FS15" i="63"/>
  <c r="FT15" i="63"/>
  <c r="FU15" i="63"/>
  <c r="FV15" i="63"/>
  <c r="FW15" i="63"/>
  <c r="FX15" i="63"/>
  <c r="FY15" i="63"/>
  <c r="FZ15" i="63"/>
  <c r="GA15" i="63"/>
  <c r="GB15" i="63"/>
  <c r="GC15" i="63"/>
  <c r="GD15" i="63"/>
  <c r="GE15" i="63"/>
  <c r="GF15" i="63"/>
  <c r="GG15" i="63"/>
  <c r="GH15" i="63"/>
  <c r="GI15" i="63"/>
  <c r="GJ15" i="63"/>
  <c r="GK15" i="63"/>
  <c r="GL15" i="63"/>
  <c r="GM15" i="63"/>
  <c r="GN15" i="63"/>
  <c r="GO15" i="63"/>
  <c r="GP15" i="63"/>
  <c r="GQ15" i="63"/>
  <c r="GR15" i="63"/>
  <c r="GS15" i="63"/>
  <c r="GT15" i="63"/>
  <c r="GU15" i="63"/>
  <c r="GV15" i="63"/>
  <c r="GW15" i="63"/>
  <c r="GX15" i="63"/>
  <c r="GY15" i="63"/>
  <c r="GZ15" i="63"/>
  <c r="HA15" i="63"/>
  <c r="HB15" i="63"/>
  <c r="HC15" i="63"/>
  <c r="HD15" i="63"/>
  <c r="HE15" i="63"/>
  <c r="HF15" i="63"/>
  <c r="HG15" i="63"/>
  <c r="HH15" i="63"/>
  <c r="HI15" i="63"/>
  <c r="HJ15" i="63"/>
  <c r="HK15" i="63"/>
  <c r="HL15" i="63"/>
  <c r="HM15" i="63"/>
  <c r="HN15" i="63"/>
  <c r="HO15" i="63"/>
  <c r="HP15" i="63"/>
  <c r="HQ15" i="63"/>
  <c r="HR15" i="63"/>
  <c r="HS15" i="63"/>
  <c r="HT15" i="63"/>
  <c r="HU15" i="63"/>
  <c r="HV15" i="63"/>
  <c r="HW15" i="63"/>
  <c r="HX15" i="63"/>
  <c r="HY15" i="63"/>
  <c r="HZ15" i="63"/>
  <c r="IA15" i="63"/>
  <c r="IB15" i="63"/>
  <c r="IC15" i="63"/>
  <c r="ID15" i="63"/>
  <c r="IE15" i="63"/>
  <c r="IF15" i="63"/>
  <c r="IG15" i="63"/>
  <c r="IH15" i="63"/>
  <c r="HF8" i="63"/>
  <c r="HG8" i="63"/>
  <c r="HH8" i="63"/>
  <c r="HI8" i="63"/>
  <c r="HJ8" i="63"/>
  <c r="HK8" i="63"/>
  <c r="HL8" i="63"/>
  <c r="HM8" i="63"/>
  <c r="HN8" i="63"/>
  <c r="HO8" i="63"/>
  <c r="HP8" i="63"/>
  <c r="HQ8" i="63"/>
  <c r="HR8" i="63"/>
  <c r="HS8" i="63"/>
  <c r="HT8" i="63"/>
  <c r="HU8" i="63"/>
  <c r="HV8" i="63"/>
  <c r="HW8" i="63"/>
  <c r="HX8" i="63"/>
  <c r="HY8" i="63"/>
  <c r="HZ8" i="63"/>
  <c r="IA8" i="63"/>
  <c r="IB8" i="63"/>
  <c r="IC8" i="63"/>
  <c r="ID8" i="63"/>
  <c r="IE8" i="63"/>
  <c r="IF8" i="63"/>
  <c r="IG8" i="63"/>
  <c r="IH8" i="63"/>
  <c r="II8" i="63"/>
  <c r="IJ8" i="63"/>
  <c r="IK8" i="63"/>
  <c r="IL8" i="63"/>
  <c r="IM8" i="63"/>
  <c r="IN8" i="63"/>
  <c r="IO8" i="63"/>
  <c r="IP8" i="63"/>
  <c r="IQ8" i="63"/>
  <c r="IR8" i="63"/>
  <c r="IS8" i="63"/>
  <c r="IT8" i="63"/>
  <c r="IU8" i="63"/>
  <c r="IV8" i="63"/>
  <c r="F2" i="63" l="1"/>
  <c r="G2" i="63"/>
  <c r="H2" i="63"/>
  <c r="I2" i="63"/>
  <c r="J2" i="63"/>
  <c r="K2" i="63"/>
  <c r="L2" i="63"/>
  <c r="M2" i="63"/>
  <c r="N2" i="63"/>
  <c r="O2" i="63"/>
  <c r="P2" i="63"/>
  <c r="Q2" i="63"/>
  <c r="R2" i="63"/>
  <c r="S2" i="63"/>
  <c r="T2" i="63"/>
  <c r="U2" i="63"/>
  <c r="V2" i="63"/>
  <c r="W2" i="63"/>
  <c r="X2" i="63"/>
  <c r="Y2" i="63"/>
  <c r="Z2" i="63"/>
  <c r="AA2" i="63"/>
  <c r="AB2" i="63"/>
  <c r="AC2" i="63"/>
  <c r="AD2" i="63"/>
  <c r="AE2" i="63"/>
  <c r="AF2" i="63"/>
  <c r="AG2" i="63"/>
  <c r="AH2" i="63"/>
  <c r="AI2" i="63"/>
  <c r="AJ2" i="63"/>
  <c r="AK2" i="63"/>
  <c r="AL2" i="63"/>
  <c r="AM2" i="63"/>
  <c r="AN2" i="63"/>
  <c r="AO2" i="63"/>
  <c r="AP2" i="63"/>
  <c r="AQ2" i="63"/>
  <c r="AR2" i="63"/>
  <c r="AS2" i="63"/>
  <c r="AT2" i="63"/>
  <c r="AU2" i="63"/>
  <c r="AV2" i="63"/>
  <c r="AW2" i="63"/>
  <c r="AX2" i="63"/>
  <c r="AY2" i="63"/>
  <c r="AZ2" i="63"/>
  <c r="BA2" i="63"/>
  <c r="BB2" i="63"/>
  <c r="BC2" i="63"/>
  <c r="BD2" i="63"/>
  <c r="BE2" i="63"/>
  <c r="BF2" i="63"/>
  <c r="BG2" i="63"/>
  <c r="BH2" i="63"/>
  <c r="BI2" i="63"/>
  <c r="BJ2" i="63"/>
  <c r="BK2" i="63"/>
  <c r="BL2" i="63"/>
  <c r="BM2" i="63"/>
  <c r="BN2" i="63"/>
  <c r="BO2" i="63"/>
  <c r="BP2" i="63"/>
  <c r="BQ2" i="63"/>
  <c r="BR2" i="63"/>
  <c r="BS2" i="63"/>
  <c r="BT2" i="63"/>
  <c r="BU2" i="63"/>
  <c r="BV2" i="63"/>
  <c r="BW2" i="63"/>
  <c r="BX2" i="63"/>
  <c r="BY2" i="63"/>
  <c r="BZ2" i="63"/>
  <c r="CA2" i="63"/>
  <c r="CB2" i="63"/>
  <c r="CC2" i="63"/>
  <c r="CD2" i="63"/>
  <c r="CE2" i="63"/>
  <c r="CF2" i="63"/>
  <c r="CG2" i="63"/>
  <c r="CH2" i="63"/>
  <c r="CI2" i="63"/>
  <c r="CJ2" i="63"/>
  <c r="CK2" i="63"/>
  <c r="CL2" i="63"/>
  <c r="CM2" i="63"/>
  <c r="CN2" i="63"/>
  <c r="CO2" i="63"/>
  <c r="CP2" i="63"/>
  <c r="CQ2" i="63"/>
  <c r="CR2" i="63"/>
  <c r="CS2" i="63"/>
  <c r="CT2" i="63"/>
  <c r="CU2" i="63"/>
  <c r="CV2" i="63"/>
  <c r="CW2" i="63"/>
  <c r="CX2" i="63"/>
  <c r="CY2" i="63"/>
  <c r="CZ2" i="63"/>
  <c r="DA2" i="63"/>
  <c r="DB2" i="63"/>
  <c r="DC2" i="63"/>
  <c r="DD2" i="63"/>
  <c r="DE2" i="63"/>
  <c r="DF2" i="63"/>
  <c r="DG2" i="63"/>
  <c r="DH2" i="63"/>
  <c r="DI2" i="63"/>
  <c r="DJ2" i="63"/>
  <c r="DK2" i="63"/>
  <c r="DL2" i="63"/>
  <c r="DM2" i="63"/>
  <c r="DN2" i="63"/>
  <c r="DO2" i="63"/>
  <c r="DP2" i="63"/>
  <c r="DQ2" i="63"/>
  <c r="DR2" i="63"/>
  <c r="DS2" i="63"/>
  <c r="DT2" i="63"/>
  <c r="DU2" i="63"/>
  <c r="DV2" i="63"/>
  <c r="DW2" i="63"/>
  <c r="DX2" i="63"/>
  <c r="DY2" i="63"/>
  <c r="DZ2" i="63"/>
  <c r="EA2" i="63"/>
  <c r="EB2" i="63"/>
  <c r="EC2" i="63"/>
  <c r="ED2" i="63"/>
  <c r="EE2" i="63"/>
  <c r="EF2" i="63"/>
  <c r="EG2" i="63"/>
  <c r="EH2" i="63"/>
  <c r="EI2" i="63"/>
  <c r="EJ2" i="63"/>
  <c r="EK2" i="63"/>
  <c r="EL2" i="63"/>
  <c r="EM2" i="63"/>
  <c r="EN2" i="63"/>
  <c r="EO2" i="63"/>
  <c r="EP2" i="63"/>
  <c r="EQ2" i="63"/>
  <c r="ER2" i="63"/>
  <c r="ES2" i="63"/>
  <c r="ET2" i="63"/>
  <c r="EU2" i="63"/>
  <c r="EV2" i="63"/>
  <c r="EW2" i="63"/>
  <c r="EX2" i="63"/>
  <c r="EY2" i="63"/>
  <c r="EZ2" i="63"/>
  <c r="FA2" i="63"/>
  <c r="FB2" i="63"/>
  <c r="FC2" i="63"/>
  <c r="FD2" i="63"/>
  <c r="FE2" i="63"/>
  <c r="FF2" i="63"/>
  <c r="FG2" i="63"/>
  <c r="FH2" i="63"/>
  <c r="FI2" i="63"/>
  <c r="FJ2" i="63"/>
  <c r="FK2" i="63"/>
  <c r="FL2" i="63"/>
  <c r="FM2" i="63"/>
  <c r="FN2" i="63"/>
  <c r="FO2" i="63"/>
  <c r="FP2" i="63"/>
  <c r="FQ2" i="63"/>
  <c r="FR2" i="63"/>
  <c r="FS2" i="63"/>
  <c r="FT2" i="63"/>
  <c r="FU2" i="63"/>
  <c r="FV2" i="63"/>
  <c r="FW2" i="63"/>
  <c r="FX2" i="63"/>
  <c r="FY2" i="63"/>
  <c r="FZ2" i="63"/>
  <c r="GA2" i="63"/>
  <c r="GB2" i="63"/>
  <c r="GC2" i="63"/>
  <c r="GD2" i="63"/>
  <c r="GE2" i="63"/>
  <c r="GF2" i="63"/>
  <c r="GG2" i="63"/>
  <c r="GH2" i="63"/>
  <c r="GI2" i="63"/>
  <c r="GJ2" i="63"/>
  <c r="GK2" i="63"/>
  <c r="GL2" i="63"/>
  <c r="GM2" i="63"/>
  <c r="GN2" i="63"/>
  <c r="GO2" i="63"/>
  <c r="GP2" i="63"/>
  <c r="GQ2" i="63"/>
  <c r="GR2" i="63"/>
  <c r="GS2" i="63"/>
  <c r="GT2" i="63"/>
  <c r="GU2" i="63"/>
  <c r="GV2" i="63"/>
  <c r="GW2" i="63"/>
  <c r="GX2" i="63"/>
  <c r="GY2" i="63"/>
  <c r="GZ2" i="63"/>
  <c r="HA2" i="63"/>
  <c r="HB2" i="63"/>
  <c r="HC2" i="63"/>
  <c r="HD2" i="63"/>
  <c r="HE2" i="63"/>
  <c r="HF2" i="63"/>
  <c r="HG2" i="63"/>
  <c r="HH2" i="63"/>
  <c r="HI2" i="63"/>
  <c r="HJ2" i="63"/>
  <c r="HK2" i="63"/>
  <c r="HL2" i="63"/>
  <c r="HM2" i="63"/>
  <c r="HN2" i="63"/>
  <c r="HO2" i="63"/>
  <c r="HP2" i="63"/>
  <c r="HQ2" i="63"/>
  <c r="HR2" i="63"/>
  <c r="HS2" i="63"/>
  <c r="HT2" i="63"/>
  <c r="HU2" i="63"/>
  <c r="HV2" i="63"/>
  <c r="HW2" i="63"/>
  <c r="HX2" i="63"/>
  <c r="HY2" i="63"/>
  <c r="HZ2" i="63"/>
  <c r="IA2" i="63"/>
  <c r="IB2" i="63"/>
  <c r="IC2" i="63"/>
  <c r="ID2" i="63"/>
  <c r="IE2" i="63"/>
  <c r="IF2" i="63"/>
  <c r="IG2" i="63"/>
  <c r="IH2" i="63"/>
  <c r="II2" i="63"/>
  <c r="IJ2" i="63"/>
  <c r="IK2" i="63"/>
  <c r="IL2" i="63"/>
  <c r="IM2" i="63"/>
  <c r="IN2" i="63"/>
  <c r="IO2" i="63"/>
  <c r="IP2" i="63"/>
  <c r="IQ2" i="63"/>
  <c r="IR2" i="63"/>
  <c r="IS2" i="63"/>
  <c r="IT2" i="63"/>
  <c r="IU2" i="63"/>
  <c r="IV2" i="63"/>
  <c r="F3" i="63"/>
  <c r="G3" i="63"/>
  <c r="H3" i="63"/>
  <c r="I3" i="63"/>
  <c r="J3" i="63"/>
  <c r="K3" i="63"/>
  <c r="L3" i="63"/>
  <c r="M3" i="63"/>
  <c r="N3" i="63"/>
  <c r="O3" i="63"/>
  <c r="P3" i="63"/>
  <c r="Q3" i="63"/>
  <c r="R3" i="63"/>
  <c r="S3" i="63"/>
  <c r="T3" i="63"/>
  <c r="U3" i="63"/>
  <c r="V3" i="63"/>
  <c r="W3" i="63"/>
  <c r="X3" i="63"/>
  <c r="Y3" i="63"/>
  <c r="Z3" i="63"/>
  <c r="AA3" i="63"/>
  <c r="AB3" i="63"/>
  <c r="AC3" i="63"/>
  <c r="AD3" i="63"/>
  <c r="AE3" i="63"/>
  <c r="AF3" i="63"/>
  <c r="AG3" i="63"/>
  <c r="AH3" i="63"/>
  <c r="AI3" i="63"/>
  <c r="AJ3" i="63"/>
  <c r="AK3" i="63"/>
  <c r="AL3" i="63"/>
  <c r="AM3" i="63"/>
  <c r="AN3" i="63"/>
  <c r="AO3" i="63"/>
  <c r="AP3" i="63"/>
  <c r="AQ3" i="63"/>
  <c r="AR3" i="63"/>
  <c r="AS3" i="63"/>
  <c r="AT3" i="63"/>
  <c r="AU3" i="63"/>
  <c r="AV3" i="63"/>
  <c r="AW3" i="63"/>
  <c r="AX3" i="63"/>
  <c r="AY3" i="63"/>
  <c r="AZ3" i="63"/>
  <c r="BA3" i="63"/>
  <c r="BB3" i="63"/>
  <c r="BC3" i="63"/>
  <c r="BD3" i="63"/>
  <c r="BE3" i="63"/>
  <c r="BF3" i="63"/>
  <c r="BG3" i="63"/>
  <c r="BH3" i="63"/>
  <c r="BI3" i="63"/>
  <c r="BJ3" i="63"/>
  <c r="BK3" i="63"/>
  <c r="BL3" i="63"/>
  <c r="BM3" i="63"/>
  <c r="BN3" i="63"/>
  <c r="BO3" i="63"/>
  <c r="BP3" i="63"/>
  <c r="BQ3" i="63"/>
  <c r="BR3" i="63"/>
  <c r="BS3" i="63"/>
  <c r="BT3" i="63"/>
  <c r="BU3" i="63"/>
  <c r="BV3" i="63"/>
  <c r="BW3" i="63"/>
  <c r="BX3" i="63"/>
  <c r="BY3" i="63"/>
  <c r="BZ3" i="63"/>
  <c r="CA3" i="63"/>
  <c r="CB3" i="63"/>
  <c r="CC3" i="63"/>
  <c r="CD3" i="63"/>
  <c r="CE3" i="63"/>
  <c r="CF3" i="63"/>
  <c r="CG3" i="63"/>
  <c r="CH3" i="63"/>
  <c r="CI3" i="63"/>
  <c r="CJ3" i="63"/>
  <c r="CK3" i="63"/>
  <c r="CL3" i="63"/>
  <c r="CM3" i="63"/>
  <c r="CN3" i="63"/>
  <c r="CO3" i="63"/>
  <c r="CP3" i="63"/>
  <c r="CQ3" i="63"/>
  <c r="CR3" i="63"/>
  <c r="CS3" i="63"/>
  <c r="CT3" i="63"/>
  <c r="CU3" i="63"/>
  <c r="CV3" i="63"/>
  <c r="CW3" i="63"/>
  <c r="CX3" i="63"/>
  <c r="CY3" i="63"/>
  <c r="CZ3" i="63"/>
  <c r="DA3" i="63"/>
  <c r="DB3" i="63"/>
  <c r="DC3" i="63"/>
  <c r="DD3" i="63"/>
  <c r="DE3" i="63"/>
  <c r="DF3" i="63"/>
  <c r="DG3" i="63"/>
  <c r="DH3" i="63"/>
  <c r="DI3" i="63"/>
  <c r="DJ3" i="63"/>
  <c r="DK3" i="63"/>
  <c r="DL3" i="63"/>
  <c r="DM3" i="63"/>
  <c r="DN3" i="63"/>
  <c r="DO3" i="63"/>
  <c r="DP3" i="63"/>
  <c r="DQ3" i="63"/>
  <c r="DR3" i="63"/>
  <c r="DS3" i="63"/>
  <c r="DT3" i="63"/>
  <c r="DU3" i="63"/>
  <c r="DV3" i="63"/>
  <c r="DW3" i="63"/>
  <c r="DX3" i="63"/>
  <c r="DY3" i="63"/>
  <c r="DZ3" i="63"/>
  <c r="EA3" i="63"/>
  <c r="EB3" i="63"/>
  <c r="EC3" i="63"/>
  <c r="ED3" i="63"/>
  <c r="EE3" i="63"/>
  <c r="EF3" i="63"/>
  <c r="EG3" i="63"/>
  <c r="EH3" i="63"/>
  <c r="EI3" i="63"/>
  <c r="EJ3" i="63"/>
  <c r="EK3" i="63"/>
  <c r="EL3" i="63"/>
  <c r="EM3" i="63"/>
  <c r="EN3" i="63"/>
  <c r="EO3" i="63"/>
  <c r="EP3" i="63"/>
  <c r="EQ3" i="63"/>
  <c r="ER3" i="63"/>
  <c r="ES3" i="63"/>
  <c r="ET3" i="63"/>
  <c r="EU3" i="63"/>
  <c r="EV3" i="63"/>
  <c r="EW3" i="63"/>
  <c r="EX3" i="63"/>
  <c r="EY3" i="63"/>
  <c r="EZ3" i="63"/>
  <c r="FA3" i="63"/>
  <c r="FB3" i="63"/>
  <c r="FC3" i="63"/>
  <c r="FD3" i="63"/>
  <c r="FE3" i="63"/>
  <c r="FF3" i="63"/>
  <c r="FG3" i="63"/>
  <c r="FH3" i="63"/>
  <c r="FI3" i="63"/>
  <c r="FJ3" i="63"/>
  <c r="FK3" i="63"/>
  <c r="FL3" i="63"/>
  <c r="FM3" i="63"/>
  <c r="FN3" i="63"/>
  <c r="FO3" i="63"/>
  <c r="FP3" i="63"/>
  <c r="FQ3" i="63"/>
  <c r="FR3" i="63"/>
  <c r="FS3" i="63"/>
  <c r="FT3" i="63"/>
  <c r="FU3" i="63"/>
  <c r="FV3" i="63"/>
  <c r="FW3" i="63"/>
  <c r="FX3" i="63"/>
  <c r="FY3" i="63"/>
  <c r="FZ3" i="63"/>
  <c r="GA3" i="63"/>
  <c r="GB3" i="63"/>
  <c r="GC3" i="63"/>
  <c r="GD3" i="63"/>
  <c r="GE3" i="63"/>
  <c r="GF3" i="63"/>
  <c r="GG3" i="63"/>
  <c r="GH3" i="63"/>
  <c r="GI3" i="63"/>
  <c r="GJ3" i="63"/>
  <c r="GK3" i="63"/>
  <c r="GL3" i="63"/>
  <c r="GM3" i="63"/>
  <c r="GN3" i="63"/>
  <c r="GO3" i="63"/>
  <c r="GP3" i="63"/>
  <c r="GQ3" i="63"/>
  <c r="GR3" i="63"/>
  <c r="GS3" i="63"/>
  <c r="GT3" i="63"/>
  <c r="GU3" i="63"/>
  <c r="GV3" i="63"/>
  <c r="GW3" i="63"/>
  <c r="GX3" i="63"/>
  <c r="GY3" i="63"/>
  <c r="GZ3" i="63"/>
  <c r="HA3" i="63"/>
  <c r="HB3" i="63"/>
  <c r="HC3" i="63"/>
  <c r="HD3" i="63"/>
  <c r="HE3" i="63"/>
  <c r="HF3" i="63"/>
  <c r="HG3" i="63"/>
  <c r="HH3" i="63"/>
  <c r="HI3" i="63"/>
  <c r="HJ3" i="63"/>
  <c r="HK3" i="63"/>
  <c r="HL3" i="63"/>
  <c r="HM3" i="63"/>
  <c r="HN3" i="63"/>
  <c r="HO3" i="63"/>
  <c r="HP3" i="63"/>
  <c r="HQ3" i="63"/>
  <c r="HR3" i="63"/>
  <c r="HS3" i="63"/>
  <c r="HT3" i="63"/>
  <c r="HU3" i="63"/>
  <c r="HV3" i="63"/>
  <c r="HW3" i="63"/>
  <c r="HX3" i="63"/>
  <c r="HY3" i="63"/>
  <c r="HZ3" i="63"/>
  <c r="IA3" i="63"/>
  <c r="IB3" i="63"/>
  <c r="IC3" i="63"/>
  <c r="ID3" i="63"/>
  <c r="IE3" i="63"/>
  <c r="IF3" i="63"/>
  <c r="IG3" i="63"/>
  <c r="IH3" i="63"/>
  <c r="II3" i="63"/>
  <c r="IJ3" i="63"/>
  <c r="IK3" i="63"/>
  <c r="IL3" i="63"/>
  <c r="IM3" i="63"/>
  <c r="IN3" i="63"/>
  <c r="IO3" i="63"/>
  <c r="IP3" i="63"/>
  <c r="IQ3" i="63"/>
  <c r="IR3" i="63"/>
  <c r="IS3" i="63"/>
  <c r="IT3" i="63"/>
  <c r="IU3" i="63"/>
  <c r="IV3" i="63"/>
  <c r="F4" i="63"/>
  <c r="G4" i="63"/>
  <c r="H4" i="63"/>
  <c r="I4" i="63"/>
  <c r="J4" i="63"/>
  <c r="K4" i="63"/>
  <c r="L4" i="63"/>
  <c r="M4" i="63"/>
  <c r="N4" i="63"/>
  <c r="O4" i="63"/>
  <c r="P4" i="63"/>
  <c r="Q4" i="63"/>
  <c r="R4" i="63"/>
  <c r="S4" i="63"/>
  <c r="T4" i="63"/>
  <c r="U4" i="63"/>
  <c r="V4" i="63"/>
  <c r="W4" i="63"/>
  <c r="X4" i="63"/>
  <c r="Y4" i="63"/>
  <c r="Z4" i="63"/>
  <c r="AA4" i="63"/>
  <c r="AB4" i="63"/>
  <c r="AC4" i="63"/>
  <c r="AD4" i="63"/>
  <c r="AE4" i="63"/>
  <c r="AF4" i="63"/>
  <c r="AG4" i="63"/>
  <c r="AH4" i="63"/>
  <c r="AI4" i="63"/>
  <c r="AJ4" i="63"/>
  <c r="AK4" i="63"/>
  <c r="AL4" i="63"/>
  <c r="AM4" i="63"/>
  <c r="AN4" i="63"/>
  <c r="AO4" i="63"/>
  <c r="AP4" i="63"/>
  <c r="AQ4" i="63"/>
  <c r="AR4" i="63"/>
  <c r="AS4" i="63"/>
  <c r="AT4" i="63"/>
  <c r="AU4" i="63"/>
  <c r="AV4" i="63"/>
  <c r="AW4" i="63"/>
  <c r="AX4" i="63"/>
  <c r="AY4" i="63"/>
  <c r="AZ4" i="63"/>
  <c r="BA4" i="63"/>
  <c r="BB4" i="63"/>
  <c r="BC4" i="63"/>
  <c r="BD4" i="63"/>
  <c r="BE4" i="63"/>
  <c r="BF4" i="63"/>
  <c r="BG4" i="63"/>
  <c r="BH4" i="63"/>
  <c r="BI4" i="63"/>
  <c r="BJ4" i="63"/>
  <c r="BK4" i="63"/>
  <c r="BL4" i="63"/>
  <c r="BM4" i="63"/>
  <c r="BN4" i="63"/>
  <c r="BO4" i="63"/>
  <c r="BP4" i="63"/>
  <c r="BQ4" i="63"/>
  <c r="BR4" i="63"/>
  <c r="BS4" i="63"/>
  <c r="BT4" i="63"/>
  <c r="BU4" i="63"/>
  <c r="BV4" i="63"/>
  <c r="BW4" i="63"/>
  <c r="BX4" i="63"/>
  <c r="BY4" i="63"/>
  <c r="BZ4" i="63"/>
  <c r="CA4" i="63"/>
  <c r="CB4" i="63"/>
  <c r="CC4" i="63"/>
  <c r="CD4" i="63"/>
  <c r="CE4" i="63"/>
  <c r="CF4" i="63"/>
  <c r="CG4" i="63"/>
  <c r="CH4" i="63"/>
  <c r="CI4" i="63"/>
  <c r="CJ4" i="63"/>
  <c r="CK4" i="63"/>
  <c r="CL4" i="63"/>
  <c r="CM4" i="63"/>
  <c r="CN4" i="63"/>
  <c r="CO4" i="63"/>
  <c r="CP4" i="63"/>
  <c r="CQ4" i="63"/>
  <c r="CR4" i="63"/>
  <c r="CS4" i="63"/>
  <c r="CT4" i="63"/>
  <c r="CU4" i="63"/>
  <c r="CV4" i="63"/>
  <c r="CW4" i="63"/>
  <c r="CX4" i="63"/>
  <c r="CY4" i="63"/>
  <c r="CZ4" i="63"/>
  <c r="DA4" i="63"/>
  <c r="DB4" i="63"/>
  <c r="DC4" i="63"/>
  <c r="DD4" i="63"/>
  <c r="DE4" i="63"/>
  <c r="DF4" i="63"/>
  <c r="DG4" i="63"/>
  <c r="DH4" i="63"/>
  <c r="DI4" i="63"/>
  <c r="DJ4" i="63"/>
  <c r="DK4" i="63"/>
  <c r="DL4" i="63"/>
  <c r="DM4" i="63"/>
  <c r="DN4" i="63"/>
  <c r="DO4" i="63"/>
  <c r="DP4" i="63"/>
  <c r="DQ4" i="63"/>
  <c r="DR4" i="63"/>
  <c r="DS4" i="63"/>
  <c r="DT4" i="63"/>
  <c r="DU4" i="63"/>
  <c r="DV4" i="63"/>
  <c r="DW4" i="63"/>
  <c r="DX4" i="63"/>
  <c r="DY4" i="63"/>
  <c r="DZ4" i="63"/>
  <c r="EA4" i="63"/>
  <c r="EB4" i="63"/>
  <c r="EC4" i="63"/>
  <c r="ED4" i="63"/>
  <c r="EE4" i="63"/>
  <c r="EF4" i="63"/>
  <c r="EG4" i="63"/>
  <c r="EH4" i="63"/>
  <c r="EI4" i="63"/>
  <c r="EJ4" i="63"/>
  <c r="EK4" i="63"/>
  <c r="EL4" i="63"/>
  <c r="EM4" i="63"/>
  <c r="EN4" i="63"/>
  <c r="EO4" i="63"/>
  <c r="EP4" i="63"/>
  <c r="EQ4" i="63"/>
  <c r="ER4" i="63"/>
  <c r="ES4" i="63"/>
  <c r="ET4" i="63"/>
  <c r="EU4" i="63"/>
  <c r="EV4" i="63"/>
  <c r="EW4" i="63"/>
  <c r="EX4" i="63"/>
  <c r="EY4" i="63"/>
  <c r="EZ4" i="63"/>
  <c r="FA4" i="63"/>
  <c r="FB4" i="63"/>
  <c r="FC4" i="63"/>
  <c r="FD4" i="63"/>
  <c r="FE4" i="63"/>
  <c r="FF4" i="63"/>
  <c r="FG4" i="63"/>
  <c r="FH4" i="63"/>
  <c r="FI4" i="63"/>
  <c r="FJ4" i="63"/>
  <c r="FK4" i="63"/>
  <c r="FL4" i="63"/>
  <c r="FM4" i="63"/>
  <c r="FN4" i="63"/>
  <c r="FO4" i="63"/>
  <c r="FP4" i="63"/>
  <c r="FQ4" i="63"/>
  <c r="FR4" i="63"/>
  <c r="FS4" i="63"/>
  <c r="FT4" i="63"/>
  <c r="FU4" i="63"/>
  <c r="FV4" i="63"/>
  <c r="FW4" i="63"/>
  <c r="FX4" i="63"/>
  <c r="FY4" i="63"/>
  <c r="FZ4" i="63"/>
  <c r="GA4" i="63"/>
  <c r="GB4" i="63"/>
  <c r="GC4" i="63"/>
  <c r="GD4" i="63"/>
  <c r="GE4" i="63"/>
  <c r="GF4" i="63"/>
  <c r="GG4" i="63"/>
  <c r="GH4" i="63"/>
  <c r="GI4" i="63"/>
  <c r="GJ4" i="63"/>
  <c r="GK4" i="63"/>
  <c r="GL4" i="63"/>
  <c r="GM4" i="63"/>
  <c r="GN4" i="63"/>
  <c r="GO4" i="63"/>
  <c r="GP4" i="63"/>
  <c r="GQ4" i="63"/>
  <c r="GR4" i="63"/>
  <c r="GS4" i="63"/>
  <c r="GT4" i="63"/>
  <c r="GU4" i="63"/>
  <c r="GV4" i="63"/>
  <c r="GW4" i="63"/>
  <c r="GX4" i="63"/>
  <c r="GY4" i="63"/>
  <c r="GZ4" i="63"/>
  <c r="HA4" i="63"/>
  <c r="HB4" i="63"/>
  <c r="HC4" i="63"/>
  <c r="HD4" i="63"/>
  <c r="HE4" i="63"/>
  <c r="HF4" i="63"/>
  <c r="HG4" i="63"/>
  <c r="HH4" i="63"/>
  <c r="HI4" i="63"/>
  <c r="HJ4" i="63"/>
  <c r="HK4" i="63"/>
  <c r="HL4" i="63"/>
  <c r="HM4" i="63"/>
  <c r="HN4" i="63"/>
  <c r="HO4" i="63"/>
  <c r="HP4" i="63"/>
  <c r="HQ4" i="63"/>
  <c r="HR4" i="63"/>
  <c r="HS4" i="63"/>
  <c r="HT4" i="63"/>
  <c r="HU4" i="63"/>
  <c r="HV4" i="63"/>
  <c r="HW4" i="63"/>
  <c r="HX4" i="63"/>
  <c r="HY4" i="63"/>
  <c r="HZ4" i="63"/>
  <c r="IA4" i="63"/>
  <c r="IB4" i="63"/>
  <c r="IC4" i="63"/>
  <c r="ID4" i="63"/>
  <c r="IE4" i="63"/>
  <c r="IF4" i="63"/>
  <c r="IG4" i="63"/>
  <c r="IH4" i="63"/>
  <c r="II4" i="63"/>
  <c r="IJ4" i="63"/>
  <c r="IK4" i="63"/>
  <c r="IL4" i="63"/>
  <c r="IM4" i="63"/>
  <c r="IN4" i="63"/>
  <c r="IO4" i="63"/>
  <c r="IP4" i="63"/>
  <c r="IQ4" i="63"/>
  <c r="IR4" i="63"/>
  <c r="IS4" i="63"/>
  <c r="IT4" i="63"/>
  <c r="IU4" i="63"/>
  <c r="IV4" i="63"/>
  <c r="F5" i="63"/>
  <c r="G5" i="63"/>
  <c r="H5" i="63"/>
  <c r="I5" i="63"/>
  <c r="J5" i="63"/>
  <c r="K5" i="63"/>
  <c r="L5" i="63"/>
  <c r="M5" i="63"/>
  <c r="N5" i="63"/>
  <c r="O5" i="63"/>
  <c r="P5" i="63"/>
  <c r="Q5" i="63"/>
  <c r="R5" i="63"/>
  <c r="S5" i="63"/>
  <c r="T5" i="63"/>
  <c r="U5" i="63"/>
  <c r="V5" i="63"/>
  <c r="W5" i="63"/>
  <c r="X5" i="63"/>
  <c r="Y5" i="63"/>
  <c r="Z5" i="63"/>
  <c r="AA5" i="63"/>
  <c r="AB5" i="63"/>
  <c r="AC5" i="63"/>
  <c r="AD5" i="63"/>
  <c r="AE5" i="63"/>
  <c r="AF5" i="63"/>
  <c r="AG5" i="63"/>
  <c r="AH5" i="63"/>
  <c r="AI5" i="63"/>
  <c r="AJ5" i="63"/>
  <c r="AK5" i="63"/>
  <c r="AL5" i="63"/>
  <c r="AM5" i="63"/>
  <c r="AN5" i="63"/>
  <c r="AO5" i="63"/>
  <c r="AP5" i="63"/>
  <c r="AQ5" i="63"/>
  <c r="AR5" i="63"/>
  <c r="AS5" i="63"/>
  <c r="AT5" i="63"/>
  <c r="AU5" i="63"/>
  <c r="AV5" i="63"/>
  <c r="AW5" i="63"/>
  <c r="AX5" i="63"/>
  <c r="AY5" i="63"/>
  <c r="AZ5" i="63"/>
  <c r="BA5" i="63"/>
  <c r="BB5" i="63"/>
  <c r="BC5" i="63"/>
  <c r="BD5" i="63"/>
  <c r="BE5" i="63"/>
  <c r="BF5" i="63"/>
  <c r="BG5" i="63"/>
  <c r="BH5" i="63"/>
  <c r="BI5" i="63"/>
  <c r="BJ5" i="63"/>
  <c r="BK5" i="63"/>
  <c r="BL5" i="63"/>
  <c r="BM5" i="63"/>
  <c r="BN5" i="63"/>
  <c r="BO5" i="63"/>
  <c r="BP5" i="63"/>
  <c r="BQ5" i="63"/>
  <c r="BR5" i="63"/>
  <c r="BS5" i="63"/>
  <c r="BT5" i="63"/>
  <c r="BU5" i="63"/>
  <c r="BV5" i="63"/>
  <c r="BW5" i="63"/>
  <c r="BX5" i="63"/>
  <c r="BY5" i="63"/>
  <c r="BZ5" i="63"/>
  <c r="CA5" i="63"/>
  <c r="CB5" i="63"/>
  <c r="CC5" i="63"/>
  <c r="CD5" i="63"/>
  <c r="CE5" i="63"/>
  <c r="CF5" i="63"/>
  <c r="CG5" i="63"/>
  <c r="CH5" i="63"/>
  <c r="CI5" i="63"/>
  <c r="CJ5" i="63"/>
  <c r="CK5" i="63"/>
  <c r="CL5" i="63"/>
  <c r="CM5" i="63"/>
  <c r="CN5" i="63"/>
  <c r="CO5" i="63"/>
  <c r="CP5" i="63"/>
  <c r="CQ5" i="63"/>
  <c r="CR5" i="63"/>
  <c r="CS5" i="63"/>
  <c r="CT5" i="63"/>
  <c r="CU5" i="63"/>
  <c r="CV5" i="63"/>
  <c r="CW5" i="63"/>
  <c r="CX5" i="63"/>
  <c r="CY5" i="63"/>
  <c r="CZ5" i="63"/>
  <c r="DA5" i="63"/>
  <c r="DB5" i="63"/>
  <c r="DC5" i="63"/>
  <c r="DD5" i="63"/>
  <c r="DE5" i="63"/>
  <c r="DF5" i="63"/>
  <c r="DG5" i="63"/>
  <c r="DH5" i="63"/>
  <c r="DI5" i="63"/>
  <c r="DJ5" i="63"/>
  <c r="DK5" i="63"/>
  <c r="DL5" i="63"/>
  <c r="DM5" i="63"/>
  <c r="DN5" i="63"/>
  <c r="DO5" i="63"/>
  <c r="DP5" i="63"/>
  <c r="DQ5" i="63"/>
  <c r="DR5" i="63"/>
  <c r="DS5" i="63"/>
  <c r="DT5" i="63"/>
  <c r="DU5" i="63"/>
  <c r="DV5" i="63"/>
  <c r="DW5" i="63"/>
  <c r="DX5" i="63"/>
  <c r="DY5" i="63"/>
  <c r="DZ5" i="63"/>
  <c r="EA5" i="63"/>
  <c r="EB5" i="63"/>
  <c r="EC5" i="63"/>
  <c r="ED5" i="63"/>
  <c r="EE5" i="63"/>
  <c r="EF5" i="63"/>
  <c r="EG5" i="63"/>
  <c r="EH5" i="63"/>
  <c r="EI5" i="63"/>
  <c r="EJ5" i="63"/>
  <c r="EK5" i="63"/>
  <c r="EL5" i="63"/>
  <c r="EM5" i="63"/>
  <c r="EN5" i="63"/>
  <c r="EO5" i="63"/>
  <c r="EP5" i="63"/>
  <c r="EQ5" i="63"/>
  <c r="ER5" i="63"/>
  <c r="ES5" i="63"/>
  <c r="ET5" i="63"/>
  <c r="EU5" i="63"/>
  <c r="EV5" i="63"/>
  <c r="EW5" i="63"/>
  <c r="EX5" i="63"/>
  <c r="EY5" i="63"/>
  <c r="EZ5" i="63"/>
  <c r="FA5" i="63"/>
  <c r="FB5" i="63"/>
  <c r="FC5" i="63"/>
  <c r="FD5" i="63"/>
  <c r="FE5" i="63"/>
  <c r="FF5" i="63"/>
  <c r="FG5" i="63"/>
  <c r="FH5" i="63"/>
  <c r="FI5" i="63"/>
  <c r="FJ5" i="63"/>
  <c r="FK5" i="63"/>
  <c r="FL5" i="63"/>
  <c r="FM5" i="63"/>
  <c r="FN5" i="63"/>
  <c r="FO5" i="63"/>
  <c r="FP5" i="63"/>
  <c r="FQ5" i="63"/>
  <c r="FR5" i="63"/>
  <c r="FS5" i="63"/>
  <c r="FT5" i="63"/>
  <c r="FU5" i="63"/>
  <c r="FV5" i="63"/>
  <c r="FW5" i="63"/>
  <c r="FX5" i="63"/>
  <c r="FY5" i="63"/>
  <c r="FZ5" i="63"/>
  <c r="GA5" i="63"/>
  <c r="GB5" i="63"/>
  <c r="GC5" i="63"/>
  <c r="GD5" i="63"/>
  <c r="GE5" i="63"/>
  <c r="GF5" i="63"/>
  <c r="GG5" i="63"/>
  <c r="GH5" i="63"/>
  <c r="GI5" i="63"/>
  <c r="GJ5" i="63"/>
  <c r="GK5" i="63"/>
  <c r="GL5" i="63"/>
  <c r="GM5" i="63"/>
  <c r="GN5" i="63"/>
  <c r="GO5" i="63"/>
  <c r="GP5" i="63"/>
  <c r="GQ5" i="63"/>
  <c r="GR5" i="63"/>
  <c r="GS5" i="63"/>
  <c r="GT5" i="63"/>
  <c r="GU5" i="63"/>
  <c r="GV5" i="63"/>
  <c r="GW5" i="63"/>
  <c r="GX5" i="63"/>
  <c r="GY5" i="63"/>
  <c r="GZ5" i="63"/>
  <c r="HA5" i="63"/>
  <c r="HB5" i="63"/>
  <c r="HC5" i="63"/>
  <c r="HD5" i="63"/>
  <c r="HE5" i="63"/>
  <c r="HF5" i="63"/>
  <c r="HG5" i="63"/>
  <c r="HH5" i="63"/>
  <c r="HI5" i="63"/>
  <c r="HJ5" i="63"/>
  <c r="HK5" i="63"/>
  <c r="HL5" i="63"/>
  <c r="HM5" i="63"/>
  <c r="HN5" i="63"/>
  <c r="HO5" i="63"/>
  <c r="HP5" i="63"/>
  <c r="HQ5" i="63"/>
  <c r="HR5" i="63"/>
  <c r="HS5" i="63"/>
  <c r="HT5" i="63"/>
  <c r="HU5" i="63"/>
  <c r="HV5" i="63"/>
  <c r="HW5" i="63"/>
  <c r="HX5" i="63"/>
  <c r="HY5" i="63"/>
  <c r="HZ5" i="63"/>
  <c r="IA5" i="63"/>
  <c r="IB5" i="63"/>
  <c r="IC5" i="63"/>
  <c r="ID5" i="63"/>
  <c r="IE5" i="63"/>
  <c r="IF5" i="63"/>
  <c r="IG5" i="63"/>
  <c r="IH5" i="63"/>
  <c r="II5" i="63"/>
  <c r="IJ5" i="63"/>
  <c r="IK5" i="63"/>
  <c r="IL5" i="63"/>
  <c r="IM5" i="63"/>
  <c r="IN5" i="63"/>
  <c r="IO5" i="63"/>
  <c r="IP5" i="63"/>
  <c r="IQ5" i="63"/>
  <c r="IR5" i="63"/>
  <c r="IS5" i="63"/>
  <c r="IT5" i="63"/>
  <c r="IU5" i="63"/>
  <c r="IV5" i="63"/>
  <c r="F6" i="63"/>
  <c r="G6" i="63"/>
  <c r="H6" i="63"/>
  <c r="I6" i="63"/>
  <c r="J6" i="63"/>
  <c r="K6" i="63"/>
  <c r="L6" i="63"/>
  <c r="M6" i="63"/>
  <c r="N6" i="63"/>
  <c r="O6" i="63"/>
  <c r="P6" i="63"/>
  <c r="Q6" i="63"/>
  <c r="R6" i="63"/>
  <c r="S6" i="63"/>
  <c r="T6" i="63"/>
  <c r="U6" i="63"/>
  <c r="V6" i="63"/>
  <c r="W6" i="63"/>
  <c r="X6" i="63"/>
  <c r="Y6" i="63"/>
  <c r="Z6" i="63"/>
  <c r="AA6" i="63"/>
  <c r="AB6" i="63"/>
  <c r="AC6" i="63"/>
  <c r="AD6" i="63"/>
  <c r="AE6" i="63"/>
  <c r="AF6" i="63"/>
  <c r="AG6" i="63"/>
  <c r="AH6" i="63"/>
  <c r="AI6" i="63"/>
  <c r="AJ6" i="63"/>
  <c r="AK6" i="63"/>
  <c r="AL6" i="63"/>
  <c r="AM6" i="63"/>
  <c r="AN6" i="63"/>
  <c r="AO6" i="63"/>
  <c r="AP6" i="63"/>
  <c r="AQ6" i="63"/>
  <c r="AR6" i="63"/>
  <c r="AS6" i="63"/>
  <c r="AT6" i="63"/>
  <c r="AU6" i="63"/>
  <c r="AV6" i="63"/>
  <c r="AW6" i="63"/>
  <c r="AX6" i="63"/>
  <c r="AY6" i="63"/>
  <c r="AZ6" i="63"/>
  <c r="BA6" i="63"/>
  <c r="BB6" i="63"/>
  <c r="BC6" i="63"/>
  <c r="BD6" i="63"/>
  <c r="BE6" i="63"/>
  <c r="BF6" i="63"/>
  <c r="BG6" i="63"/>
  <c r="BH6" i="63"/>
  <c r="BI6" i="63"/>
  <c r="BJ6" i="63"/>
  <c r="BK6" i="63"/>
  <c r="BL6" i="63"/>
  <c r="BM6" i="63"/>
  <c r="BN6" i="63"/>
  <c r="BO6" i="63"/>
  <c r="BP6" i="63"/>
  <c r="BQ6" i="63"/>
  <c r="BR6" i="63"/>
  <c r="BS6" i="63"/>
  <c r="BT6" i="63"/>
  <c r="BU6" i="63"/>
  <c r="BV6" i="63"/>
  <c r="BW6" i="63"/>
  <c r="BX6" i="63"/>
  <c r="BY6" i="63"/>
  <c r="BZ6" i="63"/>
  <c r="CA6" i="63"/>
  <c r="CB6" i="63"/>
  <c r="CC6" i="63"/>
  <c r="CD6" i="63"/>
  <c r="CE6" i="63"/>
  <c r="CF6" i="63"/>
  <c r="CG6" i="63"/>
  <c r="CH6" i="63"/>
  <c r="CI6" i="63"/>
  <c r="CJ6" i="63"/>
  <c r="CK6" i="63"/>
  <c r="CL6" i="63"/>
  <c r="CM6" i="63"/>
  <c r="CN6" i="63"/>
  <c r="CO6" i="63"/>
  <c r="CP6" i="63"/>
  <c r="CQ6" i="63"/>
  <c r="CR6" i="63"/>
  <c r="CS6" i="63"/>
  <c r="CT6" i="63"/>
  <c r="CU6" i="63"/>
  <c r="CV6" i="63"/>
  <c r="CW6" i="63"/>
  <c r="CX6" i="63"/>
  <c r="CY6" i="63"/>
  <c r="CZ6" i="63"/>
  <c r="DA6" i="63"/>
  <c r="DB6" i="63"/>
  <c r="DC6" i="63"/>
  <c r="DD6" i="63"/>
  <c r="DE6" i="63"/>
  <c r="DF6" i="63"/>
  <c r="DG6" i="63"/>
  <c r="DH6" i="63"/>
  <c r="DI6" i="63"/>
  <c r="DJ6" i="63"/>
  <c r="DK6" i="63"/>
  <c r="DL6" i="63"/>
  <c r="DM6" i="63"/>
  <c r="DN6" i="63"/>
  <c r="DO6" i="63"/>
  <c r="DP6" i="63"/>
  <c r="DQ6" i="63"/>
  <c r="DR6" i="63"/>
  <c r="DS6" i="63"/>
  <c r="DT6" i="63"/>
  <c r="DU6" i="63"/>
  <c r="DV6" i="63"/>
  <c r="DW6" i="63"/>
  <c r="DX6" i="63"/>
  <c r="DY6" i="63"/>
  <c r="DZ6" i="63"/>
  <c r="EA6" i="63"/>
  <c r="EB6" i="63"/>
  <c r="EC6" i="63"/>
  <c r="ED6" i="63"/>
  <c r="EE6" i="63"/>
  <c r="EF6" i="63"/>
  <c r="EG6" i="63"/>
  <c r="EH6" i="63"/>
  <c r="EI6" i="63"/>
  <c r="EJ6" i="63"/>
  <c r="EK6" i="63"/>
  <c r="EL6" i="63"/>
  <c r="EM6" i="63"/>
  <c r="EN6" i="63"/>
  <c r="EO6" i="63"/>
  <c r="EP6" i="63"/>
  <c r="EQ6" i="63"/>
  <c r="ER6" i="63"/>
  <c r="ES6" i="63"/>
  <c r="ET6" i="63"/>
  <c r="EU6" i="63"/>
  <c r="EV6" i="63"/>
  <c r="EW6" i="63"/>
  <c r="EX6" i="63"/>
  <c r="EY6" i="63"/>
  <c r="EZ6" i="63"/>
  <c r="FA6" i="63"/>
  <c r="FB6" i="63"/>
  <c r="FC6" i="63"/>
  <c r="FD6" i="63"/>
  <c r="FE6" i="63"/>
  <c r="FF6" i="63"/>
  <c r="FG6" i="63"/>
  <c r="FH6" i="63"/>
  <c r="FI6" i="63"/>
  <c r="FJ6" i="63"/>
  <c r="FK6" i="63"/>
  <c r="FL6" i="63"/>
  <c r="FM6" i="63"/>
  <c r="FN6" i="63"/>
  <c r="FO6" i="63"/>
  <c r="FP6" i="63"/>
  <c r="FQ6" i="63"/>
  <c r="FR6" i="63"/>
  <c r="FS6" i="63"/>
  <c r="FT6" i="63"/>
  <c r="FU6" i="63"/>
  <c r="FV6" i="63"/>
  <c r="FW6" i="63"/>
  <c r="FX6" i="63"/>
  <c r="FY6" i="63"/>
  <c r="FZ6" i="63"/>
  <c r="GA6" i="63"/>
  <c r="GB6" i="63"/>
  <c r="GC6" i="63"/>
  <c r="GD6" i="63"/>
  <c r="GE6" i="63"/>
  <c r="GF6" i="63"/>
  <c r="GG6" i="63"/>
  <c r="GH6" i="63"/>
  <c r="GI6" i="63"/>
  <c r="GJ6" i="63"/>
  <c r="GK6" i="63"/>
  <c r="GL6" i="63"/>
  <c r="GM6" i="63"/>
  <c r="GN6" i="63"/>
  <c r="GO6" i="63"/>
  <c r="GP6" i="63"/>
  <c r="GQ6" i="63"/>
  <c r="GR6" i="63"/>
  <c r="GS6" i="63"/>
  <c r="GT6" i="63"/>
  <c r="GU6" i="63"/>
  <c r="GV6" i="63"/>
  <c r="GW6" i="63"/>
  <c r="GX6" i="63"/>
  <c r="GY6" i="63"/>
  <c r="GZ6" i="63"/>
  <c r="HA6" i="63"/>
  <c r="HB6" i="63"/>
  <c r="HC6" i="63"/>
  <c r="HD6" i="63"/>
  <c r="HE6" i="63"/>
  <c r="HF6" i="63"/>
  <c r="HG6" i="63"/>
  <c r="HH6" i="63"/>
  <c r="HI6" i="63"/>
  <c r="HJ6" i="63"/>
  <c r="HK6" i="63"/>
  <c r="HL6" i="63"/>
  <c r="HM6" i="63"/>
  <c r="HN6" i="63"/>
  <c r="HO6" i="63"/>
  <c r="HP6" i="63"/>
  <c r="HQ6" i="63"/>
  <c r="HR6" i="63"/>
  <c r="HS6" i="63"/>
  <c r="HT6" i="63"/>
  <c r="HU6" i="63"/>
  <c r="HV6" i="63"/>
  <c r="HW6" i="63"/>
  <c r="HX6" i="63"/>
  <c r="HY6" i="63"/>
  <c r="HZ6" i="63"/>
  <c r="IA6" i="63"/>
  <c r="IB6" i="63"/>
  <c r="IC6" i="63"/>
  <c r="ID6" i="63"/>
  <c r="IE6" i="63"/>
  <c r="IF6" i="63"/>
  <c r="IG6" i="63"/>
  <c r="IH6" i="63"/>
  <c r="II6" i="63"/>
  <c r="IJ6" i="63"/>
  <c r="IK6" i="63"/>
  <c r="IL6" i="63"/>
  <c r="IM6" i="63"/>
  <c r="IN6" i="63"/>
  <c r="IO6" i="63"/>
  <c r="IP6" i="63"/>
  <c r="IQ6" i="63"/>
  <c r="IR6" i="63"/>
  <c r="IS6" i="63"/>
  <c r="IT6" i="63"/>
  <c r="IU6" i="63"/>
  <c r="IV6" i="63"/>
  <c r="F7" i="63"/>
  <c r="G7" i="63"/>
  <c r="H7" i="63"/>
  <c r="I7" i="63"/>
  <c r="J7" i="63"/>
  <c r="K7" i="63"/>
  <c r="L7" i="63"/>
  <c r="M7" i="63"/>
  <c r="N7" i="63"/>
  <c r="O7" i="63"/>
  <c r="P7" i="63"/>
  <c r="Q7" i="63"/>
  <c r="R7" i="63"/>
  <c r="S7" i="63"/>
  <c r="T7" i="63"/>
  <c r="U7" i="63"/>
  <c r="V7" i="63"/>
  <c r="W7" i="63"/>
  <c r="X7" i="63"/>
  <c r="Y7" i="63"/>
  <c r="Z7" i="63"/>
  <c r="AA7" i="63"/>
  <c r="AB7" i="63"/>
  <c r="AC7" i="63"/>
  <c r="AD7" i="63"/>
  <c r="AE7" i="63"/>
  <c r="AF7" i="63"/>
  <c r="AG7" i="63"/>
  <c r="AH7" i="63"/>
  <c r="AI7" i="63"/>
  <c r="AJ7" i="63"/>
  <c r="AK7" i="63"/>
  <c r="AL7" i="63"/>
  <c r="AM7" i="63"/>
  <c r="AN7" i="63"/>
  <c r="AO7" i="63"/>
  <c r="AP7" i="63"/>
  <c r="AQ7" i="63"/>
  <c r="AR7" i="63"/>
  <c r="AS7" i="63"/>
  <c r="AT7" i="63"/>
  <c r="AU7" i="63"/>
  <c r="AV7" i="63"/>
  <c r="AW7" i="63"/>
  <c r="AX7" i="63"/>
  <c r="AY7" i="63"/>
  <c r="AZ7" i="63"/>
  <c r="BA7" i="63"/>
  <c r="BB7" i="63"/>
  <c r="BC7" i="63"/>
  <c r="BD7" i="63"/>
  <c r="BE7" i="63"/>
  <c r="BF7" i="63"/>
  <c r="BG7" i="63"/>
  <c r="BH7" i="63"/>
  <c r="BI7" i="63"/>
  <c r="BJ7" i="63"/>
  <c r="BK7" i="63"/>
  <c r="BL7" i="63"/>
  <c r="BM7" i="63"/>
  <c r="BN7" i="63"/>
  <c r="BO7" i="63"/>
  <c r="BP7" i="63"/>
  <c r="BQ7" i="63"/>
  <c r="BR7" i="63"/>
  <c r="BS7" i="63"/>
  <c r="BT7" i="63"/>
  <c r="BU7" i="63"/>
  <c r="BV7" i="63"/>
  <c r="BW7" i="63"/>
  <c r="BX7" i="63"/>
  <c r="BY7" i="63"/>
  <c r="BZ7" i="63"/>
  <c r="CA7" i="63"/>
  <c r="CB7" i="63"/>
  <c r="CC7" i="63"/>
  <c r="CD7" i="63"/>
  <c r="CE7" i="63"/>
  <c r="CF7" i="63"/>
  <c r="CG7" i="63"/>
  <c r="CH7" i="63"/>
  <c r="CI7" i="63"/>
  <c r="CJ7" i="63"/>
  <c r="CK7" i="63"/>
  <c r="CL7" i="63"/>
  <c r="CM7" i="63"/>
  <c r="CN7" i="63"/>
  <c r="CO7" i="63"/>
  <c r="CP7" i="63"/>
  <c r="CQ7" i="63"/>
  <c r="CR7" i="63"/>
  <c r="CS7" i="63"/>
  <c r="CT7" i="63"/>
  <c r="CU7" i="63"/>
  <c r="CV7" i="63"/>
  <c r="CW7" i="63"/>
  <c r="CX7" i="63"/>
  <c r="CY7" i="63"/>
  <c r="CZ7" i="63"/>
  <c r="DA7" i="63"/>
  <c r="DB7" i="63"/>
  <c r="DC7" i="63"/>
  <c r="DD7" i="63"/>
  <c r="DE7" i="63"/>
  <c r="DF7" i="63"/>
  <c r="DG7" i="63"/>
  <c r="DH7" i="63"/>
  <c r="DI7" i="63"/>
  <c r="DJ7" i="63"/>
  <c r="DK7" i="63"/>
  <c r="DL7" i="63"/>
  <c r="DM7" i="63"/>
  <c r="DN7" i="63"/>
  <c r="DO7" i="63"/>
  <c r="DP7" i="63"/>
  <c r="DQ7" i="63"/>
  <c r="DR7" i="63"/>
  <c r="DS7" i="63"/>
  <c r="DT7" i="63"/>
  <c r="DU7" i="63"/>
  <c r="DV7" i="63"/>
  <c r="DW7" i="63"/>
  <c r="DX7" i="63"/>
  <c r="DY7" i="63"/>
  <c r="DZ7" i="63"/>
  <c r="EA7" i="63"/>
  <c r="EB7" i="63"/>
  <c r="EC7" i="63"/>
  <c r="ED7" i="63"/>
  <c r="EE7" i="63"/>
  <c r="EF7" i="63"/>
  <c r="EG7" i="63"/>
  <c r="EH7" i="63"/>
  <c r="EI7" i="63"/>
  <c r="EJ7" i="63"/>
  <c r="EK7" i="63"/>
  <c r="EL7" i="63"/>
  <c r="EM7" i="63"/>
  <c r="EN7" i="63"/>
  <c r="EO7" i="63"/>
  <c r="EP7" i="63"/>
  <c r="EQ7" i="63"/>
  <c r="ER7" i="63"/>
  <c r="ES7" i="63"/>
  <c r="ET7" i="63"/>
  <c r="EU7" i="63"/>
  <c r="EV7" i="63"/>
  <c r="EW7" i="63"/>
  <c r="EX7" i="63"/>
  <c r="EY7" i="63"/>
  <c r="EZ7" i="63"/>
  <c r="FA7" i="63"/>
  <c r="FB7" i="63"/>
  <c r="FC7" i="63"/>
  <c r="FD7" i="63"/>
  <c r="FE7" i="63"/>
  <c r="FF7" i="63"/>
  <c r="FG7" i="63"/>
  <c r="FH7" i="63"/>
  <c r="FI7" i="63"/>
  <c r="FJ7" i="63"/>
  <c r="FK7" i="63"/>
  <c r="FL7" i="63"/>
  <c r="FM7" i="63"/>
  <c r="FN7" i="63"/>
  <c r="FO7" i="63"/>
  <c r="FP7" i="63"/>
  <c r="FQ7" i="63"/>
  <c r="FR7" i="63"/>
  <c r="FS7" i="63"/>
  <c r="FT7" i="63"/>
  <c r="FU7" i="63"/>
  <c r="FV7" i="63"/>
  <c r="FW7" i="63"/>
  <c r="FX7" i="63"/>
  <c r="FY7" i="63"/>
  <c r="FZ7" i="63"/>
  <c r="GA7" i="63"/>
  <c r="GB7" i="63"/>
  <c r="GC7" i="63"/>
  <c r="GD7" i="63"/>
  <c r="GE7" i="63"/>
  <c r="GF7" i="63"/>
  <c r="GG7" i="63"/>
  <c r="GH7" i="63"/>
  <c r="GI7" i="63"/>
  <c r="GJ7" i="63"/>
  <c r="GK7" i="63"/>
  <c r="GL7" i="63"/>
  <c r="GM7" i="63"/>
  <c r="GN7" i="63"/>
  <c r="GO7" i="63"/>
  <c r="GP7" i="63"/>
  <c r="GQ7" i="63"/>
  <c r="GR7" i="63"/>
  <c r="GS7" i="63"/>
  <c r="GT7" i="63"/>
  <c r="GU7" i="63"/>
  <c r="GV7" i="63"/>
  <c r="GW7" i="63"/>
  <c r="GX7" i="63"/>
  <c r="GY7" i="63"/>
  <c r="GZ7" i="63"/>
  <c r="HA7" i="63"/>
  <c r="HB7" i="63"/>
  <c r="HC7" i="63"/>
  <c r="HD7" i="63"/>
  <c r="HE7" i="63"/>
  <c r="HF7" i="63"/>
  <c r="HG7" i="63"/>
  <c r="HH7" i="63"/>
  <c r="HI7" i="63"/>
  <c r="HJ7" i="63"/>
  <c r="HK7" i="63"/>
  <c r="HL7" i="63"/>
  <c r="HM7" i="63"/>
  <c r="HN7" i="63"/>
  <c r="HO7" i="63"/>
  <c r="HP7" i="63"/>
  <c r="HQ7" i="63"/>
  <c r="HR7" i="63"/>
  <c r="HS7" i="63"/>
  <c r="HT7" i="63"/>
  <c r="HU7" i="63"/>
  <c r="HV7" i="63"/>
  <c r="HW7" i="63"/>
  <c r="HX7" i="63"/>
  <c r="HY7" i="63"/>
  <c r="HZ7" i="63"/>
  <c r="IA7" i="63"/>
  <c r="IB7" i="63"/>
  <c r="IC7" i="63"/>
  <c r="ID7" i="63"/>
  <c r="IE7" i="63"/>
  <c r="IF7" i="63"/>
  <c r="IG7" i="63"/>
  <c r="IH7" i="63"/>
  <c r="II7" i="63"/>
  <c r="IJ7" i="63"/>
  <c r="IK7" i="63"/>
  <c r="IL7" i="63"/>
  <c r="IM7" i="63"/>
  <c r="IN7" i="63"/>
  <c r="IO7" i="63"/>
  <c r="IP7" i="63"/>
  <c r="IQ7" i="63"/>
  <c r="IR7" i="63"/>
  <c r="IS7" i="63"/>
  <c r="IT7" i="63"/>
  <c r="IU7" i="63"/>
  <c r="IV7" i="63"/>
  <c r="F8" i="63"/>
  <c r="G8" i="63"/>
  <c r="H8" i="63"/>
  <c r="I8" i="63"/>
  <c r="J8" i="63"/>
  <c r="K8" i="63"/>
  <c r="L8" i="63"/>
  <c r="M8" i="63"/>
  <c r="N8" i="63"/>
  <c r="O8" i="63"/>
  <c r="P8" i="63"/>
  <c r="Q8" i="63"/>
  <c r="R8" i="63"/>
  <c r="S8" i="63"/>
  <c r="T8" i="63"/>
  <c r="U8" i="63"/>
  <c r="V8" i="63"/>
  <c r="W8" i="63"/>
  <c r="X8" i="63"/>
  <c r="Y8" i="63"/>
  <c r="Z8" i="63"/>
  <c r="AA8" i="63"/>
  <c r="AB8" i="63"/>
  <c r="AC8" i="63"/>
  <c r="AD8" i="63"/>
  <c r="AE8" i="63"/>
  <c r="AF8" i="63"/>
  <c r="AG8" i="63"/>
  <c r="AH8" i="63"/>
  <c r="AI8" i="63"/>
  <c r="AJ8" i="63"/>
  <c r="AK8" i="63"/>
  <c r="AL8" i="63"/>
  <c r="AM8" i="63"/>
  <c r="AN8" i="63"/>
  <c r="AO8" i="63"/>
  <c r="AP8" i="63"/>
  <c r="AQ8" i="63"/>
  <c r="AR8" i="63"/>
  <c r="AS8" i="63"/>
  <c r="AT8" i="63"/>
  <c r="AU8" i="63"/>
  <c r="AV8" i="63"/>
  <c r="AW8" i="63"/>
  <c r="AX8" i="63"/>
  <c r="AY8" i="63"/>
  <c r="AZ8" i="63"/>
  <c r="BA8" i="63"/>
  <c r="BB8" i="63"/>
  <c r="BC8" i="63"/>
  <c r="BD8" i="63"/>
  <c r="BE8" i="63"/>
  <c r="BF8" i="63"/>
  <c r="BG8" i="63"/>
  <c r="BH8" i="63"/>
  <c r="BI8" i="63"/>
  <c r="BJ8" i="63"/>
  <c r="BK8" i="63"/>
  <c r="BL8" i="63"/>
  <c r="BM8" i="63"/>
  <c r="BN8" i="63"/>
  <c r="BO8" i="63"/>
  <c r="BP8" i="63"/>
  <c r="BQ8" i="63"/>
  <c r="BR8" i="63"/>
  <c r="BS8" i="63"/>
  <c r="BT8" i="63"/>
  <c r="BU8" i="63"/>
  <c r="BV8" i="63"/>
  <c r="BW8" i="63"/>
  <c r="BX8" i="63"/>
  <c r="BY8" i="63"/>
  <c r="BZ8" i="63"/>
  <c r="CA8" i="63"/>
  <c r="CB8" i="63"/>
  <c r="CC8" i="63"/>
  <c r="CD8" i="63"/>
  <c r="CE8" i="63"/>
  <c r="CF8" i="63"/>
  <c r="CG8" i="63"/>
  <c r="CH8" i="63"/>
  <c r="CI8" i="63"/>
  <c r="CJ8" i="63"/>
  <c r="CK8" i="63"/>
  <c r="CL8" i="63"/>
  <c r="CM8" i="63"/>
  <c r="CN8" i="63"/>
  <c r="CO8" i="63"/>
  <c r="CP8" i="63"/>
  <c r="CQ8" i="63"/>
  <c r="CR8" i="63"/>
  <c r="CS8" i="63"/>
  <c r="CT8" i="63"/>
  <c r="CU8" i="63"/>
  <c r="CV8" i="63"/>
  <c r="CW8" i="63"/>
  <c r="CX8" i="63"/>
  <c r="CY8" i="63"/>
  <c r="CZ8" i="63"/>
  <c r="DA8" i="63"/>
  <c r="DB8" i="63"/>
  <c r="DC8" i="63"/>
  <c r="DD8" i="63"/>
  <c r="DE8" i="63"/>
  <c r="DF8" i="63"/>
  <c r="DG8" i="63"/>
  <c r="DH8" i="63"/>
  <c r="DI8" i="63"/>
  <c r="DJ8" i="63"/>
  <c r="DK8" i="63"/>
  <c r="DL8" i="63"/>
  <c r="DM8" i="63"/>
  <c r="DN8" i="63"/>
  <c r="DO8" i="63"/>
  <c r="DP8" i="63"/>
  <c r="DQ8" i="63"/>
  <c r="DR8" i="63"/>
  <c r="DS8" i="63"/>
  <c r="DT8" i="63"/>
  <c r="DU8" i="63"/>
  <c r="DV8" i="63"/>
  <c r="DW8" i="63"/>
  <c r="DX8" i="63"/>
  <c r="DY8" i="63"/>
  <c r="DZ8" i="63"/>
  <c r="EA8" i="63"/>
  <c r="EB8" i="63"/>
  <c r="EC8" i="63"/>
  <c r="ED8" i="63"/>
  <c r="EE8" i="63"/>
  <c r="EF8" i="63"/>
  <c r="EG8" i="63"/>
  <c r="EH8" i="63"/>
  <c r="EI8" i="63"/>
  <c r="EJ8" i="63"/>
  <c r="EK8" i="63"/>
  <c r="EL8" i="63"/>
  <c r="EM8" i="63"/>
  <c r="EN8" i="63"/>
  <c r="EO8" i="63"/>
  <c r="EP8" i="63"/>
  <c r="EQ8" i="63"/>
  <c r="ER8" i="63"/>
  <c r="ES8" i="63"/>
  <c r="ET8" i="63"/>
  <c r="EU8" i="63"/>
  <c r="EV8" i="63"/>
  <c r="EW8" i="63"/>
  <c r="EX8" i="63"/>
  <c r="EY8" i="63"/>
  <c r="EZ8" i="63"/>
  <c r="FA8" i="63"/>
  <c r="FB8" i="63"/>
  <c r="FC8" i="63"/>
  <c r="FD8" i="63"/>
  <c r="FE8" i="63"/>
  <c r="FF8" i="63"/>
  <c r="FG8" i="63"/>
  <c r="FH8" i="63"/>
  <c r="FI8" i="63"/>
  <c r="FJ8" i="63"/>
  <c r="FK8" i="63"/>
  <c r="FL8" i="63"/>
  <c r="FM8" i="63"/>
  <c r="FN8" i="63"/>
  <c r="FO8" i="63"/>
  <c r="FP8" i="63"/>
  <c r="FQ8" i="63"/>
  <c r="FR8" i="63"/>
  <c r="FS8" i="63"/>
  <c r="FT8" i="63"/>
  <c r="FU8" i="63"/>
  <c r="FV8" i="63"/>
  <c r="FW8" i="63"/>
  <c r="FX8" i="63"/>
  <c r="FY8" i="63"/>
  <c r="FZ8" i="63"/>
  <c r="GA8" i="63"/>
  <c r="GB8" i="63"/>
  <c r="GC8" i="63"/>
  <c r="GD8" i="63"/>
  <c r="GE8" i="63"/>
  <c r="GF8" i="63"/>
  <c r="GG8" i="63"/>
  <c r="GH8" i="63"/>
  <c r="GI8" i="63"/>
  <c r="GJ8" i="63"/>
  <c r="GK8" i="63"/>
  <c r="GL8" i="63"/>
  <c r="GM8" i="63"/>
  <c r="GN8" i="63"/>
  <c r="GO8" i="63"/>
  <c r="GP8" i="63"/>
  <c r="GQ8" i="63"/>
  <c r="GR8" i="63"/>
  <c r="GS8" i="63"/>
  <c r="GT8" i="63"/>
  <c r="GU8" i="63"/>
  <c r="GV8" i="63"/>
  <c r="GW8" i="63"/>
  <c r="GX8" i="63"/>
  <c r="GY8" i="63"/>
  <c r="GZ8" i="63"/>
  <c r="HA8" i="63"/>
  <c r="HB8" i="63"/>
  <c r="HC8" i="63"/>
  <c r="HD8" i="63"/>
  <c r="HE8" i="63"/>
  <c r="F1" i="63"/>
  <c r="G1" i="63"/>
  <c r="H1" i="63"/>
  <c r="I1" i="63"/>
  <c r="J1" i="63"/>
  <c r="K1" i="63"/>
  <c r="L1" i="63"/>
  <c r="M1" i="63"/>
  <c r="N1" i="63"/>
  <c r="O1" i="63"/>
  <c r="P1" i="63"/>
  <c r="Q1" i="63"/>
  <c r="R1" i="63"/>
  <c r="S1" i="63"/>
  <c r="T1" i="63"/>
  <c r="U1" i="63"/>
  <c r="V1" i="63"/>
  <c r="W1" i="63"/>
  <c r="X1" i="63"/>
  <c r="Y1" i="63"/>
  <c r="Z1" i="63"/>
  <c r="AA1" i="63"/>
  <c r="AB1" i="63"/>
  <c r="AC1" i="63"/>
  <c r="AD1" i="63"/>
  <c r="AE1" i="63"/>
  <c r="AF1" i="63"/>
  <c r="AG1" i="63"/>
  <c r="AH1" i="63"/>
  <c r="AI1" i="63"/>
  <c r="AJ1" i="63"/>
  <c r="AK1" i="63"/>
  <c r="AL1" i="63"/>
  <c r="AM1" i="63"/>
  <c r="AN1" i="63"/>
  <c r="AO1" i="63"/>
  <c r="AP1" i="63"/>
  <c r="AQ1" i="63"/>
  <c r="AR1" i="63"/>
  <c r="AS1" i="63"/>
  <c r="AT1" i="63"/>
  <c r="AU1" i="63"/>
  <c r="AV1" i="63"/>
  <c r="AW1" i="63"/>
  <c r="AX1" i="63"/>
  <c r="AY1" i="63"/>
  <c r="AZ1" i="63"/>
  <c r="BA1" i="63"/>
  <c r="BB1" i="63"/>
  <c r="BC1" i="63"/>
  <c r="BD1" i="63"/>
  <c r="BE1" i="63"/>
  <c r="BF1" i="63"/>
  <c r="BG1" i="63"/>
  <c r="BH1" i="63"/>
  <c r="BI1" i="63"/>
  <c r="BJ1" i="63"/>
  <c r="BK1" i="63"/>
  <c r="BL1" i="63"/>
  <c r="BM1" i="63"/>
  <c r="BN1" i="63"/>
  <c r="BO1" i="63"/>
  <c r="BP1" i="63"/>
  <c r="BQ1" i="63"/>
  <c r="BR1" i="63"/>
  <c r="BS1" i="63"/>
  <c r="BT1" i="63"/>
  <c r="BU1" i="63"/>
  <c r="BV1" i="63"/>
  <c r="BW1" i="63"/>
  <c r="BX1" i="63"/>
  <c r="BY1" i="63"/>
  <c r="BZ1" i="63"/>
  <c r="CA1" i="63"/>
  <c r="CB1" i="63"/>
  <c r="CC1" i="63"/>
  <c r="CD1" i="63"/>
  <c r="CE1" i="63"/>
  <c r="CF1" i="63"/>
  <c r="CG1" i="63"/>
  <c r="CH1" i="63"/>
  <c r="CI1" i="63"/>
  <c r="CJ1" i="63"/>
  <c r="CK1" i="63"/>
  <c r="CL1" i="63"/>
  <c r="CM1" i="63"/>
  <c r="CN1" i="63"/>
  <c r="CO1" i="63"/>
  <c r="CP1" i="63"/>
  <c r="CQ1" i="63"/>
  <c r="CR1" i="63"/>
  <c r="CS1" i="63"/>
  <c r="CT1" i="63"/>
  <c r="CU1" i="63"/>
  <c r="CV1" i="63"/>
  <c r="CW1" i="63"/>
  <c r="CX1" i="63"/>
  <c r="CY1" i="63"/>
  <c r="CZ1" i="63"/>
  <c r="DA1" i="63"/>
  <c r="DB1" i="63"/>
  <c r="DC1" i="63"/>
  <c r="DD1" i="63"/>
  <c r="DE1" i="63"/>
  <c r="DF1" i="63"/>
  <c r="DG1" i="63"/>
  <c r="DH1" i="63"/>
  <c r="DI1" i="63"/>
  <c r="DJ1" i="63"/>
  <c r="DK1" i="63"/>
  <c r="DL1" i="63"/>
  <c r="DM1" i="63"/>
  <c r="DN1" i="63"/>
  <c r="DO1" i="63"/>
  <c r="DP1" i="63"/>
  <c r="DQ1" i="63"/>
  <c r="DR1" i="63"/>
  <c r="DS1" i="63"/>
  <c r="DT1" i="63"/>
  <c r="DU1" i="63"/>
  <c r="DV1" i="63"/>
  <c r="DW1" i="63"/>
  <c r="DX1" i="63"/>
  <c r="DY1" i="63"/>
  <c r="DZ1" i="63"/>
  <c r="EA1" i="63"/>
  <c r="EB1" i="63"/>
  <c r="EC1" i="63"/>
  <c r="ED1" i="63"/>
  <c r="EE1" i="63"/>
  <c r="EF1" i="63"/>
  <c r="EG1" i="63"/>
  <c r="EH1" i="63"/>
  <c r="EI1" i="63"/>
  <c r="EJ1" i="63"/>
  <c r="EK1" i="63"/>
  <c r="EL1" i="63"/>
  <c r="EM1" i="63"/>
  <c r="EN1" i="63"/>
  <c r="EO1" i="63"/>
  <c r="EP1" i="63"/>
  <c r="EQ1" i="63"/>
  <c r="ER1" i="63"/>
  <c r="ES1" i="63"/>
  <c r="ET1" i="63"/>
  <c r="EU1" i="63"/>
  <c r="EV1" i="63"/>
  <c r="EW1" i="63"/>
  <c r="EX1" i="63"/>
  <c r="EY1" i="63"/>
  <c r="EZ1" i="63"/>
  <c r="FA1" i="63"/>
  <c r="FB1" i="63"/>
  <c r="FC1" i="63"/>
  <c r="FD1" i="63"/>
  <c r="FE1" i="63"/>
  <c r="FF1" i="63"/>
  <c r="FG1" i="63"/>
  <c r="FH1" i="63"/>
  <c r="FI1" i="63"/>
  <c r="FJ1" i="63"/>
  <c r="FK1" i="63"/>
  <c r="FL1" i="63"/>
  <c r="FM1" i="63"/>
  <c r="FN1" i="63"/>
  <c r="FO1" i="63"/>
  <c r="FP1" i="63"/>
  <c r="FQ1" i="63"/>
  <c r="FR1" i="63"/>
  <c r="FS1" i="63"/>
  <c r="FT1" i="63"/>
  <c r="FU1" i="63"/>
  <c r="FV1" i="63"/>
  <c r="FW1" i="63"/>
  <c r="FX1" i="63"/>
  <c r="FY1" i="63"/>
  <c r="FZ1" i="63"/>
  <c r="GA1" i="63"/>
  <c r="GB1" i="63"/>
  <c r="GC1" i="63"/>
  <c r="GD1" i="63"/>
  <c r="GE1" i="63"/>
  <c r="GF1" i="63"/>
  <c r="GG1" i="63"/>
  <c r="GH1" i="63"/>
  <c r="GI1" i="63"/>
  <c r="GJ1" i="63"/>
  <c r="GK1" i="63"/>
  <c r="GL1" i="63"/>
  <c r="GM1" i="63"/>
  <c r="GN1" i="63"/>
  <c r="GO1" i="63"/>
  <c r="GP1" i="63"/>
  <c r="GQ1" i="63"/>
  <c r="GR1" i="63"/>
  <c r="GS1" i="63"/>
  <c r="GT1" i="63"/>
  <c r="GU1" i="63"/>
  <c r="GV1" i="63"/>
  <c r="GW1" i="63"/>
  <c r="GX1" i="63"/>
  <c r="GY1" i="63"/>
  <c r="GZ1" i="63"/>
  <c r="HA1" i="63"/>
  <c r="HB1" i="63"/>
  <c r="HC1" i="63"/>
  <c r="HD1" i="63"/>
  <c r="HE1" i="63"/>
  <c r="HF1" i="63"/>
  <c r="HG1" i="63"/>
  <c r="HH1" i="63"/>
  <c r="HI1" i="63"/>
  <c r="HJ1" i="63"/>
  <c r="HK1" i="63"/>
  <c r="HL1" i="63"/>
  <c r="HM1" i="63"/>
  <c r="HN1" i="63"/>
  <c r="HO1" i="63"/>
  <c r="HP1" i="63"/>
  <c r="HQ1" i="63"/>
  <c r="HR1" i="63"/>
  <c r="HS1" i="63"/>
  <c r="HT1" i="63"/>
  <c r="HU1" i="63"/>
  <c r="HV1" i="63"/>
  <c r="HW1" i="63"/>
  <c r="HX1" i="63"/>
  <c r="HY1" i="63"/>
  <c r="HZ1" i="63"/>
  <c r="IA1" i="63"/>
  <c r="IB1" i="63"/>
  <c r="IC1" i="63"/>
  <c r="ID1" i="63"/>
  <c r="IE1" i="63"/>
  <c r="IF1" i="63"/>
  <c r="IG1" i="63"/>
  <c r="IH1" i="63"/>
  <c r="II1" i="63"/>
  <c r="IJ1" i="63"/>
  <c r="IK1" i="63"/>
  <c r="IL1" i="63"/>
  <c r="IM1" i="63"/>
  <c r="IN1" i="63"/>
  <c r="IO1" i="63"/>
  <c r="IP1" i="63"/>
  <c r="IQ1" i="63"/>
  <c r="IR1" i="63"/>
  <c r="IS1" i="63"/>
  <c r="IT1" i="63"/>
  <c r="IU1" i="63"/>
  <c r="IV1" i="63"/>
</calcChain>
</file>

<file path=xl/sharedStrings.xml><?xml version="1.0" encoding="utf-8"?>
<sst xmlns="http://schemas.openxmlformats.org/spreadsheetml/2006/main" count="198" uniqueCount="89">
  <si>
    <t>O</t>
  </si>
  <si>
    <t>F</t>
  </si>
  <si>
    <t>C</t>
  </si>
  <si>
    <t>Format</t>
  </si>
  <si>
    <t>Donnée</t>
  </si>
  <si>
    <t>Présence</t>
  </si>
  <si>
    <t>Alphanumérique – 512 caractères max</t>
  </si>
  <si>
    <t>Nom flux</t>
  </si>
  <si>
    <t>Commentaire</t>
  </si>
  <si>
    <t>ReferencePrestationPrise</t>
  </si>
  <si>
    <t>Date d'envoi du Cr</t>
  </si>
  <si>
    <t>Remarques / commentaires</t>
  </si>
  <si>
    <t>Code erreur (Cf onglet Codification-type KO)</t>
  </si>
  <si>
    <t xml:space="preserve">Référence commerciale du service d'accès propre à l'OI. Cette référence est valable tout au long de la vie du service, jusqu'à sa résiliation. Son format est non normalisé. </t>
  </si>
  <si>
    <t>Alphanumérique – 100 caractères max</t>
  </si>
  <si>
    <t>ReferenceCommandeOptionOC</t>
  </si>
  <si>
    <t>Alphanumérique</t>
  </si>
  <si>
    <t>Référence de commande propre à l'OC. Cette référence est différente de celle de la Cmd_Acces initiale.</t>
  </si>
  <si>
    <t>Référence commerciale du service d'accès propre à l'OI. Il doit être identique à la dernière valeur communiqué par l'OI via le flux CR_MAD_Ligne FTTH.</t>
  </si>
  <si>
    <t>TypeAction</t>
  </si>
  <si>
    <t>C/M/R</t>
  </si>
  <si>
    <t>Champ obligatoire : un flux par modification. Nature de la commande : Création (d'une nouvelle option telle que le GTR, par exple), Modification (de débit par exemple) ou Résiliation (d'une option mais pas d'Accès).</t>
  </si>
  <si>
    <t>TypeOptionCommandee</t>
  </si>
  <si>
    <t>liste  de valeurs</t>
  </si>
  <si>
    <t>Option concernée par la commande, parmi les options commandables</t>
  </si>
  <si>
    <t>ValeurOptionCommandee</t>
  </si>
  <si>
    <t xml:space="preserve">Valeur de l'option. Obligatoire si C ou M, facultatif si R </t>
  </si>
  <si>
    <t>Référence commerciale du service d'accès propre à l'OI. Il doit être identique à la dernière valeur comuniqué par l'OI via les flux AR_Cmd_Acces,  CR_Cmd_Acces ou CR_MAD_Ligne FTTH.</t>
  </si>
  <si>
    <t>Valeur de l'option</t>
  </si>
  <si>
    <t>EtatArCommandeOption</t>
  </si>
  <si>
    <t>"OK" ou "KO"</t>
  </si>
  <si>
    <t>DateArCommandeOption</t>
  </si>
  <si>
    <t>Numérique au format AAAAMMJJ HH:MM</t>
  </si>
  <si>
    <t>MotifKoArCommandeOption</t>
  </si>
  <si>
    <t>C si EtatArCommandeCracteristique = "KO"</t>
  </si>
  <si>
    <t>EtatCrCommandeOption</t>
  </si>
  <si>
    <t>DateCrCommandeOption</t>
  </si>
  <si>
    <t>MotifKoCrCommandeOption</t>
  </si>
  <si>
    <t>C si EtatCrCommandeCaracteristique = "KO"</t>
  </si>
  <si>
    <t>EtatMadOption</t>
  </si>
  <si>
    <t>MotifKoCRMADOption</t>
  </si>
  <si>
    <t>C si KO</t>
  </si>
  <si>
    <t>Valeurs possibles : 
« PROFIL_00 » à « PROFIL_99 », "GTR_10H", etc.</t>
  </si>
  <si>
    <t xml:space="preserve">Valeurs possibles : "Profil" ou "GTR", etc. </t>
  </si>
  <si>
    <t>Code erreur</t>
  </si>
  <si>
    <t>Type d'erreur rencontré ( "Glossaire" )</t>
  </si>
  <si>
    <t>Action possible</t>
  </si>
  <si>
    <t>x</t>
  </si>
  <si>
    <t>FIMP14</t>
  </si>
  <si>
    <t>FIMP15</t>
  </si>
  <si>
    <t>FIMP16</t>
  </si>
  <si>
    <t xml:space="preserve">L'OC envoie la commande avec une erreur de format (exemple chaine de caractère envoyée vs date attendue, champ présent non attendu...)
Bonne pratique : l'opérateur emetteur du flux de rejet indique dans le champ commentaire du rejet le premier champ concerné par le rejet </t>
  </si>
  <si>
    <t>FIMP20</t>
  </si>
  <si>
    <t>code spécifique aux offres activées</t>
  </si>
  <si>
    <t>FIMP21</t>
  </si>
  <si>
    <t>FIMP22</t>
  </si>
  <si>
    <r>
      <t>Traitement impossible :</t>
    </r>
    <r>
      <rPr>
        <sz val="10"/>
        <color rgb="FF00B0F0"/>
        <rFont val="Arial"/>
        <family val="2"/>
      </rPr>
      <t xml:space="preserve"> Pas de GTR sur cet accès.</t>
    </r>
    <r>
      <rPr>
        <b/>
        <sz val="10"/>
        <color rgb="FF00B0F0"/>
        <rFont val="Arial"/>
        <family val="2"/>
      </rPr>
      <t xml:space="preserve">
</t>
    </r>
  </si>
  <si>
    <t>FIMP23</t>
  </si>
  <si>
    <r>
      <t xml:space="preserve">TRAITEMENT IMPOSSIBLE : </t>
    </r>
    <r>
      <rPr>
        <sz val="10"/>
        <color rgb="FF00B0F0"/>
        <rFont val="Arial"/>
        <family val="2"/>
      </rPr>
      <t>la date de fin d’engagement n’est pas atteinte</t>
    </r>
  </si>
  <si>
    <t>FIMP25</t>
  </si>
  <si>
    <r>
      <t xml:space="preserve">TRAITEMENT IMPOSSIBLE </t>
    </r>
    <r>
      <rPr>
        <sz val="10"/>
        <color rgb="FF00B0F0"/>
        <rFont val="Verdana"/>
        <family val="2"/>
      </rPr>
      <t>: Référence collecte inconnue ou incohérente</t>
    </r>
  </si>
  <si>
    <t>Les informations de collectte fournies dans la commande ne sont pas valides (référence inconnue) ou incohérentes avec l'offre commandée ou l'opérteur l'origine de la commande d'accès</t>
  </si>
  <si>
    <t>FIMP26</t>
  </si>
  <si>
    <r>
      <t xml:space="preserve">TRAITEMENT IMPOSSIBLE </t>
    </r>
    <r>
      <rPr>
        <sz val="10"/>
        <color rgb="FF00B0F0"/>
        <rFont val="Verdana"/>
        <family val="2"/>
      </rPr>
      <t>: commande de modification en cours sur cet accès</t>
    </r>
  </si>
  <si>
    <t>L'option ne peut pas être modifiée car une commande de modification est déjà en cours de traitement sur cet accès</t>
  </si>
  <si>
    <t>Spécificités RIP</t>
  </si>
  <si>
    <r>
      <t xml:space="preserve">TRAITEMENT IMPOSSIBLE </t>
    </r>
    <r>
      <rPr>
        <sz val="10"/>
        <rFont val="Arial"/>
        <family val="2"/>
      </rPr>
      <t>: IDENTIFIANT COMMANDE INTERNE OC INCONNUE</t>
    </r>
  </si>
  <si>
    <t xml:space="preserve">L'identifiant de la commande est inconnu de l'OI </t>
  </si>
  <si>
    <r>
      <t>TRAITEMENT IMPOSSIBLE</t>
    </r>
    <r>
      <rPr>
        <sz val="10"/>
        <rFont val="Arial"/>
        <family val="2"/>
      </rPr>
      <t xml:space="preserve"> : CHAMPS OBLIGATOIRES MANQUANTS</t>
    </r>
  </si>
  <si>
    <t xml:space="preserve">L'OC envoie une commande incomplète </t>
  </si>
  <si>
    <r>
      <t xml:space="preserve">TRAITEMENT IMPOSSIBLE </t>
    </r>
    <r>
      <rPr>
        <sz val="10"/>
        <rFont val="Arial"/>
        <family val="2"/>
      </rPr>
      <t>: CHAMPS INCOHERENTS</t>
    </r>
  </si>
  <si>
    <r>
      <t xml:space="preserve">TRAITEMENT IMPOSSIBLE </t>
    </r>
    <r>
      <rPr>
        <sz val="10"/>
        <rFont val="Arial"/>
        <family val="2"/>
      </rPr>
      <t>:
ACCES INEXISTANT OU NON EN SERVICE</t>
    </r>
  </si>
  <si>
    <t>L'OC envoie la commande sur un accès inexistant dans le référentiel de l'OI ou existant mais dont pour lequel le CR_MES n'a pas été reçu</t>
  </si>
  <si>
    <r>
      <t xml:space="preserve">TRAITEMENT IMPOSSIBLE </t>
    </r>
    <r>
      <rPr>
        <sz val="10"/>
        <rFont val="Arial"/>
        <family val="2"/>
      </rPr>
      <t>:
OFFRE DETENUE NON ELIGIBLE A LA COMMANDE</t>
    </r>
  </si>
  <si>
    <t xml:space="preserve">L'OC envoie la commande sur un accès dans l'offre </t>
  </si>
  <si>
    <t>FAUT01</t>
  </si>
  <si>
    <r>
      <t>AUTRE MOTIF</t>
    </r>
    <r>
      <rPr>
        <sz val="10"/>
        <rFont val="Verdana"/>
        <family val="2"/>
      </rPr>
      <t xml:space="preserve"> : COMMENTAIRES LIBRES</t>
    </r>
  </si>
  <si>
    <t>Autre motif technique hors constatation de problème sur le terrain</t>
  </si>
  <si>
    <r>
      <rPr>
        <b/>
        <sz val="10"/>
        <rFont val="Arial"/>
        <family val="2"/>
      </rPr>
      <t>AUTRE MOTIF</t>
    </r>
    <r>
      <rPr>
        <sz val="10"/>
        <rFont val="Arial"/>
        <family val="2"/>
      </rPr>
      <t xml:space="preserve"> : COMMENTAIRES LIBRES Une commande avec la même ReferenceCommandeOptionOC (%champ%) a déjà été livrée</t>
    </r>
  </si>
  <si>
    <t>D%$&amp;01_6e8ca2d48f5343c18f15e8396129dc3a</t>
  </si>
  <si>
    <t>DELAHAYE Jérôme OWF/DMWF_7249_ORANGE_Windows (32-bit) NT 6.02_WX-OR6178166_AJDO6463$$$04062020</t>
  </si>
  <si>
    <t>"GqN!1966"</t>
  </si>
  <si>
    <t>CodeOI_CodeOC_CMD_ACCES_MODIF_V11_aaaammjj_numsequence.csv</t>
  </si>
  <si>
    <t>CodeOI_CodeOC_ARCMD_ACCES_MODIF_V11_aaaammjj_numsequence.csv</t>
  </si>
  <si>
    <t>CodeOI_CodeOC_CrCMD_ACCES_MODIF_V11_aaaammjj_numsequence.csv</t>
  </si>
  <si>
    <t>CodeOI_CodeOC_CrMAD_ACCESL_MODIF_V11_aaaammjj_numsequence.csv</t>
  </si>
  <si>
    <t>TROUCHE Olivier OWF/DMWF_5293_Orange_Windows (32-bit) NT :.00_WX-OR6177753_ROTU7514$$$04012021</t>
  </si>
  <si>
    <t>"'&lt;!1787"</t>
  </si>
  <si>
    <r>
      <t>Annexe 3 b - Flux modifications</t>
    </r>
    <r>
      <rPr>
        <sz val="20"/>
        <color rgb="FFFF6600"/>
        <rFont val="Helvetica 55 Roman"/>
        <family val="2"/>
      </rPr>
      <t xml:space="preserve"> </t>
    </r>
    <r>
      <rPr>
        <sz val="20"/>
        <rFont val="Helvetica 55 Roman"/>
        <family val="2"/>
      </rPr>
      <t>(pour les modifications d’accès et notifications de changements de caractéristiques)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</si>
</sst>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0"/>
      <color rgb="FF00B0F0"/>
      <name val="Arial"/>
      <family val="2"/>
    </font>
    <font>
      <b/>
      <sz val="8"/>
      <color rgb="FF00B0F0"/>
      <name val="Verdana"/>
      <family val="2"/>
    </font>
    <font>
      <sz val="8"/>
      <color rgb="FF00B0F0"/>
      <name val="Verdana"/>
      <family val="2"/>
    </font>
    <font>
      <sz val="8"/>
      <color rgb="FF00B0F0"/>
      <name val="Helvetica 55 Roman"/>
      <family val="2"/>
    </font>
    <font>
      <sz val="8"/>
      <color rgb="FF00B0F0"/>
      <name val="Helvetica 35 Thin"/>
      <family val="2"/>
    </font>
    <font>
      <b/>
      <sz val="10"/>
      <color rgb="FF00B0F0"/>
      <name val="Arial"/>
      <family val="2"/>
    </font>
    <font>
      <sz val="10"/>
      <color rgb="FF00B0F0"/>
      <name val="Verdana"/>
      <family val="2"/>
    </font>
    <font>
      <sz val="16"/>
      <color rgb="FFFF6600"/>
      <name val="Helvetica 55 Roman"/>
      <family val="2"/>
    </font>
    <font>
      <sz val="11"/>
      <name val="Arial"/>
      <family val="2"/>
    </font>
    <font>
      <sz val="10"/>
      <color rgb="FFFF6600"/>
      <name val="Verdana"/>
      <family val="2"/>
    </font>
    <font>
      <sz val="28"/>
      <color rgb="FFFF6600"/>
      <name val="Helvetica 55 Roman"/>
      <family val="2"/>
    </font>
    <font>
      <sz val="20"/>
      <color rgb="FFFF6600"/>
      <name val="Helvetica 55 Roman"/>
      <family val="2"/>
    </font>
    <font>
      <sz val="20"/>
      <name val="Helvetica 55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60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/>
    </xf>
    <xf numFmtId="0" fontId="5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9" fillId="2" borderId="0" xfId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0" fontId="2" fillId="0" borderId="0" xfId="1"/>
    <xf numFmtId="0" fontId="13" fillId="0" borderId="0" xfId="1" applyFont="1" applyAlignment="1">
      <alignment horizontal="left" vertical="center" indent="4"/>
    </xf>
    <xf numFmtId="0" fontId="3" fillId="0" borderId="0" xfId="3" applyAlignment="1">
      <alignment horizontal="center" vertical="top"/>
    </xf>
    <xf numFmtId="0" fontId="3" fillId="0" borderId="0" xfId="3" applyAlignment="1">
      <alignment vertical="top"/>
    </xf>
    <xf numFmtId="0" fontId="7" fillId="4" borderId="1" xfId="0" applyFont="1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0" xfId="3" applyFont="1" applyFill="1" applyAlignment="1">
      <alignment horizontal="center" vertical="top" wrapText="1"/>
    </xf>
    <xf numFmtId="0" fontId="3" fillId="0" borderId="1" xfId="3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0" fontId="3" fillId="0" borderId="1" xfId="3" applyBorder="1" applyAlignment="1">
      <alignment vertical="top" wrapText="1"/>
    </xf>
    <xf numFmtId="0" fontId="3" fillId="0" borderId="1" xfId="3" applyBorder="1" applyAlignment="1">
      <alignment vertical="top"/>
    </xf>
    <xf numFmtId="0" fontId="3" fillId="0" borderId="1" xfId="3" applyBorder="1" applyAlignment="1">
      <alignment horizontal="center" vertical="top"/>
    </xf>
    <xf numFmtId="0" fontId="6" fillId="0" borderId="1" xfId="3" applyFont="1" applyBorder="1" applyAlignment="1">
      <alignment horizontal="center" vertical="top" wrapText="1"/>
    </xf>
    <xf numFmtId="0" fontId="11" fillId="0" borderId="1" xfId="3" applyFont="1" applyBorder="1" applyAlignment="1">
      <alignment vertical="top" wrapText="1"/>
    </xf>
    <xf numFmtId="0" fontId="6" fillId="0" borderId="1" xfId="3" applyFont="1" applyBorder="1" applyAlignment="1">
      <alignment vertical="top" wrapText="1"/>
    </xf>
    <xf numFmtId="0" fontId="6" fillId="0" borderId="1" xfId="3" applyFont="1" applyBorder="1" applyAlignment="1">
      <alignment horizontal="center" vertical="top"/>
    </xf>
    <xf numFmtId="0" fontId="14" fillId="0" borderId="0" xfId="0" applyFont="1" applyAlignment="1">
      <alignment vertical="top"/>
    </xf>
    <xf numFmtId="0" fontId="3" fillId="2" borderId="0" xfId="3" applyFill="1" applyAlignment="1">
      <alignment vertical="top"/>
    </xf>
    <xf numFmtId="0" fontId="15" fillId="0" borderId="0" xfId="1" applyFont="1"/>
    <xf numFmtId="0" fontId="16" fillId="0" borderId="0" xfId="1" applyFont="1"/>
    <xf numFmtId="0" fontId="16" fillId="0" borderId="0" xfId="1" applyFont="1" applyAlignment="1">
      <alignment horizontal="left" vertical="center" indent="4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_Proposition_Codes rejets-2011 02 04 2" xfId="3" xr:uid="{00000000-0005-0000-0000-000003000000}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5"/>
  <sheetViews>
    <sheetView showGridLines="0" tabSelected="1" workbookViewId="0">
      <selection activeCell="A4" sqref="A4"/>
    </sheetView>
  </sheetViews>
  <sheetFormatPr baseColWidth="10" defaultColWidth="11" defaultRowHeight="13.5"/>
  <cols>
    <col min="1" max="16384" width="11" style="38"/>
  </cols>
  <sheetData>
    <row r="2" spans="1:4" ht="182.25" customHeight="1"/>
    <row r="3" spans="1:4" ht="35.5">
      <c r="A3" s="58" t="s">
        <v>88</v>
      </c>
      <c r="B3" s="57"/>
      <c r="D3" s="59"/>
    </row>
    <row r="5" spans="1:4" ht="20.5">
      <c r="A5" s="39"/>
    </row>
  </sheetData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&amp;C&amp;A</oddHeader>
    <oddFooter>&amp;R&amp;F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0"/>
  <sheetViews>
    <sheetView showGridLines="0" zoomScale="70" zoomScaleNormal="70" workbookViewId="0">
      <pane xSplit="2" ySplit="2" topLeftCell="C3" activePane="bottomRight" state="frozenSplit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baseColWidth="10" defaultColWidth="14.4609375" defaultRowHeight="12.5"/>
  <cols>
    <col min="1" max="1" width="7.15234375" style="40" customWidth="1"/>
    <col min="2" max="2" width="45.3828125" style="41" customWidth="1"/>
    <col min="3" max="3" width="64.4609375" style="41" customWidth="1"/>
    <col min="4" max="4" width="33.15234375" style="41" customWidth="1"/>
    <col min="5" max="5" width="11.4609375" style="41" customWidth="1"/>
    <col min="6" max="7" width="10.765625" style="41" customWidth="1"/>
    <col min="8" max="8" width="39.84375" style="41" customWidth="1"/>
    <col min="9" max="16384" width="14.4609375" style="41"/>
  </cols>
  <sheetData>
    <row r="1" spans="1:8">
      <c r="H1" s="42" t="s">
        <v>65</v>
      </c>
    </row>
    <row r="2" spans="1:8" s="45" customFormat="1" ht="39">
      <c r="A2" s="43" t="s">
        <v>44</v>
      </c>
      <c r="B2" s="43" t="s">
        <v>45</v>
      </c>
      <c r="C2" s="43" t="s">
        <v>8</v>
      </c>
      <c r="D2" s="43" t="s">
        <v>46</v>
      </c>
      <c r="E2" s="43" t="s">
        <v>33</v>
      </c>
      <c r="F2" s="43" t="s">
        <v>37</v>
      </c>
      <c r="G2" s="43" t="s">
        <v>40</v>
      </c>
      <c r="H2" s="44"/>
    </row>
    <row r="3" spans="1:8" ht="25.5">
      <c r="A3" s="46" t="s">
        <v>48</v>
      </c>
      <c r="B3" s="47" t="s">
        <v>66</v>
      </c>
      <c r="C3" s="48" t="s">
        <v>67</v>
      </c>
      <c r="D3" s="47"/>
      <c r="E3" s="49"/>
      <c r="F3" s="49"/>
      <c r="G3" s="49"/>
      <c r="H3" s="49"/>
    </row>
    <row r="4" spans="1:8" ht="25.5">
      <c r="A4" s="46" t="s">
        <v>49</v>
      </c>
      <c r="B4" s="47" t="s">
        <v>68</v>
      </c>
      <c r="C4" s="48" t="s">
        <v>69</v>
      </c>
      <c r="D4" s="47"/>
      <c r="E4" s="50" t="s">
        <v>47</v>
      </c>
      <c r="F4" s="50"/>
      <c r="G4" s="50"/>
      <c r="H4" s="49"/>
    </row>
    <row r="5" spans="1:8" ht="50">
      <c r="A5" s="46" t="s">
        <v>50</v>
      </c>
      <c r="B5" s="47" t="s">
        <v>70</v>
      </c>
      <c r="C5" s="48" t="s">
        <v>51</v>
      </c>
      <c r="D5" s="47"/>
      <c r="E5" s="50" t="s">
        <v>47</v>
      </c>
      <c r="F5" s="50" t="s">
        <v>47</v>
      </c>
      <c r="G5" s="50"/>
      <c r="H5" s="49"/>
    </row>
    <row r="6" spans="1:8" ht="25.5">
      <c r="A6" s="51" t="s">
        <v>52</v>
      </c>
      <c r="B6" s="47" t="s">
        <v>71</v>
      </c>
      <c r="C6" s="48" t="s">
        <v>72</v>
      </c>
      <c r="D6" s="47"/>
      <c r="E6" s="50"/>
      <c r="F6" s="50" t="s">
        <v>47</v>
      </c>
      <c r="G6" s="50"/>
      <c r="H6" s="49"/>
    </row>
    <row r="7" spans="1:8" ht="25.5">
      <c r="A7" s="51" t="s">
        <v>54</v>
      </c>
      <c r="B7" s="47" t="s">
        <v>73</v>
      </c>
      <c r="C7" s="48" t="s">
        <v>74</v>
      </c>
      <c r="D7" s="47"/>
      <c r="E7" s="50"/>
      <c r="F7" s="50" t="s">
        <v>47</v>
      </c>
      <c r="G7" s="50"/>
      <c r="H7" s="49"/>
    </row>
    <row r="8" spans="1:8" ht="26">
      <c r="A8" s="51" t="s">
        <v>55</v>
      </c>
      <c r="B8" s="52" t="s">
        <v>56</v>
      </c>
      <c r="C8" s="53"/>
      <c r="D8" s="52"/>
      <c r="E8" s="50"/>
      <c r="F8" s="54" t="s">
        <v>47</v>
      </c>
      <c r="G8" s="49"/>
      <c r="H8" s="53"/>
    </row>
    <row r="9" spans="1:8" ht="25.5">
      <c r="A9" s="51" t="s">
        <v>57</v>
      </c>
      <c r="B9" s="52" t="s">
        <v>58</v>
      </c>
      <c r="C9" s="53"/>
      <c r="D9" s="52"/>
      <c r="E9" s="50"/>
      <c r="F9" s="54" t="s">
        <v>47</v>
      </c>
      <c r="G9" s="49"/>
      <c r="H9" s="53"/>
    </row>
    <row r="10" spans="1:8" ht="37.5">
      <c r="A10" s="51" t="s">
        <v>59</v>
      </c>
      <c r="B10" s="52" t="s">
        <v>60</v>
      </c>
      <c r="C10" s="53" t="s">
        <v>61</v>
      </c>
      <c r="D10" s="52"/>
      <c r="E10" s="50"/>
      <c r="F10" s="54" t="s">
        <v>47</v>
      </c>
      <c r="G10" s="49"/>
      <c r="H10" s="53" t="s">
        <v>53</v>
      </c>
    </row>
    <row r="11" spans="1:8" ht="27">
      <c r="A11" s="51" t="s">
        <v>62</v>
      </c>
      <c r="B11" s="52" t="s">
        <v>63</v>
      </c>
      <c r="C11" s="53" t="s">
        <v>64</v>
      </c>
      <c r="D11" s="52"/>
      <c r="E11" s="54" t="s">
        <v>47</v>
      </c>
      <c r="F11" s="54"/>
      <c r="G11" s="49"/>
      <c r="H11" s="53" t="s">
        <v>53</v>
      </c>
    </row>
    <row r="12" spans="1:8" ht="13.5">
      <c r="A12" s="46" t="s">
        <v>75</v>
      </c>
      <c r="B12" s="47" t="s">
        <v>76</v>
      </c>
      <c r="C12" s="48" t="s">
        <v>77</v>
      </c>
      <c r="D12" s="49"/>
      <c r="E12" s="50"/>
      <c r="F12" s="49"/>
      <c r="G12" s="50" t="s">
        <v>47</v>
      </c>
      <c r="H12" s="49"/>
    </row>
    <row r="13" spans="1:8" ht="38">
      <c r="A13" s="46" t="s">
        <v>75</v>
      </c>
      <c r="B13" s="48" t="s">
        <v>78</v>
      </c>
      <c r="C13" s="49"/>
      <c r="D13" s="49"/>
      <c r="E13" s="50" t="s">
        <v>47</v>
      </c>
      <c r="F13" s="49"/>
      <c r="G13" s="49"/>
      <c r="H13" s="49"/>
    </row>
    <row r="15" spans="1:8" ht="14">
      <c r="A15" s="55"/>
    </row>
    <row r="47" spans="1:8" s="56" customFormat="1">
      <c r="A47" s="40"/>
      <c r="B47" s="41"/>
      <c r="C47" s="41"/>
      <c r="D47" s="41"/>
      <c r="E47" s="41"/>
      <c r="F47" s="41"/>
      <c r="G47" s="41"/>
      <c r="H47" s="41"/>
    </row>
    <row r="51" spans="1:8" s="56" customFormat="1">
      <c r="A51" s="40"/>
      <c r="B51" s="41"/>
      <c r="C51" s="41"/>
      <c r="D51" s="41"/>
      <c r="E51" s="41"/>
      <c r="F51" s="41"/>
      <c r="G51" s="41"/>
      <c r="H51" s="41"/>
    </row>
    <row r="52" spans="1:8" s="56" customFormat="1">
      <c r="A52" s="40"/>
      <c r="B52" s="41"/>
      <c r="C52" s="41"/>
      <c r="D52" s="41"/>
      <c r="E52" s="41"/>
      <c r="F52" s="41"/>
      <c r="G52" s="41"/>
      <c r="H52" s="41"/>
    </row>
    <row r="53" spans="1:8" s="56" customFormat="1">
      <c r="A53" s="40"/>
      <c r="B53" s="41"/>
      <c r="C53" s="41"/>
      <c r="D53" s="41"/>
      <c r="E53" s="41"/>
      <c r="F53" s="41"/>
      <c r="G53" s="41"/>
      <c r="H53" s="41"/>
    </row>
    <row r="55" spans="1:8" s="56" customFormat="1">
      <c r="A55" s="40"/>
      <c r="B55" s="41"/>
      <c r="C55" s="41"/>
      <c r="D55" s="41"/>
      <c r="E55" s="41"/>
      <c r="F55" s="41"/>
      <c r="G55" s="41"/>
      <c r="H55" s="41"/>
    </row>
    <row r="56" spans="1:8" s="56" customFormat="1">
      <c r="A56" s="40"/>
      <c r="B56" s="41"/>
      <c r="C56" s="41"/>
      <c r="D56" s="41"/>
      <c r="E56" s="41"/>
      <c r="F56" s="41"/>
      <c r="G56" s="41"/>
      <c r="H56" s="41"/>
    </row>
    <row r="57" spans="1:8" s="56" customFormat="1">
      <c r="A57" s="40"/>
      <c r="B57" s="41"/>
      <c r="C57" s="41"/>
      <c r="D57" s="41"/>
      <c r="E57" s="41"/>
      <c r="F57" s="41"/>
      <c r="G57" s="41"/>
      <c r="H57" s="41"/>
    </row>
    <row r="58" spans="1:8" s="56" customFormat="1">
      <c r="A58" s="40"/>
      <c r="B58" s="41"/>
      <c r="C58" s="41"/>
      <c r="D58" s="41"/>
      <c r="E58" s="41"/>
      <c r="F58" s="41"/>
      <c r="G58" s="41"/>
      <c r="H58" s="41"/>
    </row>
    <row r="59" spans="1:8" s="56" customFormat="1">
      <c r="A59" s="40"/>
      <c r="B59" s="41"/>
      <c r="C59" s="41"/>
      <c r="D59" s="41"/>
      <c r="E59" s="41"/>
      <c r="F59" s="41"/>
      <c r="G59" s="41"/>
      <c r="H59" s="41"/>
    </row>
    <row r="60" spans="1:8" s="56" customFormat="1">
      <c r="A60" s="40"/>
      <c r="B60" s="41"/>
      <c r="C60" s="41"/>
      <c r="D60" s="41"/>
      <c r="E60" s="41"/>
      <c r="F60" s="41"/>
      <c r="G60" s="41"/>
      <c r="H60" s="41"/>
    </row>
  </sheetData>
  <autoFilter ref="A2:H12" xr:uid="{00000000-0009-0000-0000-000001000000}"/>
  <pageMargins left="0.78740157480314965" right="0.39370078740157483" top="1.1811023622047245" bottom="0.78740157480314965" header="0.51181102362204722" footer="0.51181102362204722"/>
  <pageSetup paperSize="9" scale="75" fitToHeight="3" orientation="portrait" r:id="rId1"/>
  <headerFooter alignWithMargins="0">
    <oddHeader>&amp;C&amp;"Arial,Gras italique"&amp;12&amp;F</oddHeader>
    <oddFooter>&amp;R&amp;9&amp;A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H14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2" customWidth="1"/>
    <col min="2" max="2" width="14.84375" style="4" customWidth="1"/>
    <col min="3" max="3" width="10.3828125" style="4" customWidth="1"/>
    <col min="4" max="4" width="82.4609375" style="1" customWidth="1"/>
    <col min="5" max="5" width="2.765625" style="1" customWidth="1"/>
    <col min="6" max="6" width="35.15234375" style="1" customWidth="1"/>
    <col min="7" max="7" width="26.3828125" style="1" customWidth="1"/>
    <col min="8" max="8" width="49" style="1" customWidth="1"/>
    <col min="9" max="16384" width="11" style="1"/>
  </cols>
  <sheetData>
    <row r="1" spans="1:8" ht="27" customHeight="1">
      <c r="A1" s="15" t="s">
        <v>4</v>
      </c>
      <c r="B1" s="8" t="s">
        <v>3</v>
      </c>
      <c r="C1" s="8" t="s">
        <v>5</v>
      </c>
      <c r="D1" s="8" t="s">
        <v>11</v>
      </c>
      <c r="F1" s="14" t="s">
        <v>65</v>
      </c>
    </row>
    <row r="2" spans="1:8" ht="15.75" customHeight="1">
      <c r="A2" s="16" t="s">
        <v>15</v>
      </c>
      <c r="B2" s="17" t="s">
        <v>16</v>
      </c>
      <c r="C2" s="18" t="s">
        <v>0</v>
      </c>
      <c r="D2" s="19" t="s">
        <v>17</v>
      </c>
      <c r="E2" s="12"/>
      <c r="F2" s="20"/>
      <c r="G2" s="12"/>
    </row>
    <row r="3" spans="1:8" ht="30" customHeight="1">
      <c r="A3" s="16" t="s">
        <v>9</v>
      </c>
      <c r="B3" s="17" t="s">
        <v>16</v>
      </c>
      <c r="C3" s="18" t="s">
        <v>0</v>
      </c>
      <c r="D3" s="19" t="s">
        <v>18</v>
      </c>
      <c r="E3" s="12"/>
      <c r="F3" s="20"/>
      <c r="G3" s="12"/>
    </row>
    <row r="4" spans="1:8" ht="28.5" customHeight="1">
      <c r="A4" s="16" t="s">
        <v>19</v>
      </c>
      <c r="B4" s="17" t="s">
        <v>20</v>
      </c>
      <c r="C4" s="18" t="s">
        <v>0</v>
      </c>
      <c r="D4" s="19" t="s">
        <v>21</v>
      </c>
      <c r="E4" s="12"/>
      <c r="F4" s="20"/>
      <c r="G4" s="12"/>
    </row>
    <row r="5" spans="1:8">
      <c r="A5" s="3" t="s">
        <v>22</v>
      </c>
      <c r="B5" s="21" t="s">
        <v>23</v>
      </c>
      <c r="C5" s="22" t="s">
        <v>0</v>
      </c>
      <c r="D5" s="23" t="s">
        <v>24</v>
      </c>
      <c r="E5" s="24"/>
      <c r="F5" s="33" t="s">
        <v>43</v>
      </c>
      <c r="H5" s="25"/>
    </row>
    <row r="6" spans="1:8" ht="37.5">
      <c r="A6" s="3" t="s">
        <v>25</v>
      </c>
      <c r="B6" s="21" t="s">
        <v>23</v>
      </c>
      <c r="C6" s="22" t="s">
        <v>2</v>
      </c>
      <c r="D6" s="23" t="s">
        <v>26</v>
      </c>
      <c r="E6" s="24"/>
      <c r="F6" s="33" t="s">
        <v>42</v>
      </c>
      <c r="H6" s="25"/>
    </row>
    <row r="7" spans="1:8" ht="25">
      <c r="A7" s="16" t="s">
        <v>8</v>
      </c>
      <c r="B7" s="17" t="s">
        <v>6</v>
      </c>
      <c r="C7" s="18" t="s">
        <v>1</v>
      </c>
      <c r="D7" s="26"/>
      <c r="E7" s="24"/>
      <c r="F7" s="23"/>
      <c r="H7" s="2"/>
    </row>
    <row r="8" spans="1:8">
      <c r="D8" s="2"/>
    </row>
    <row r="11" spans="1:8" ht="13">
      <c r="A11" s="5" t="s">
        <v>7</v>
      </c>
    </row>
    <row r="12" spans="1:8">
      <c r="A12" s="1" t="s">
        <v>82</v>
      </c>
    </row>
    <row r="13" spans="1:8">
      <c r="F13" s="34"/>
    </row>
    <row r="14" spans="1:8">
      <c r="F14" s="35"/>
    </row>
  </sheetData>
  <pageMargins left="0.18" right="0.18" top="0.17" bottom="0.17" header="0.14000000000000001" footer="0.13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H13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0.765625" style="4" customWidth="1"/>
    <col min="3" max="3" width="17.765625" style="4" customWidth="1"/>
    <col min="4" max="4" width="70.15234375" style="1" bestFit="1" customWidth="1"/>
    <col min="5" max="5" width="4" style="2" customWidth="1"/>
    <col min="6" max="6" width="42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8" t="s">
        <v>11</v>
      </c>
      <c r="F1" s="14" t="s">
        <v>65</v>
      </c>
    </row>
    <row r="2" spans="1:8" s="2" customFormat="1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s="2" customFormat="1" ht="25">
      <c r="A3" s="16" t="s">
        <v>9</v>
      </c>
      <c r="B3" s="17" t="s">
        <v>16</v>
      </c>
      <c r="C3" s="18" t="s">
        <v>0</v>
      </c>
      <c r="D3" s="19" t="s">
        <v>27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3" t="s">
        <v>43</v>
      </c>
      <c r="H4" s="25"/>
    </row>
    <row r="5" spans="1:8" ht="2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3" t="s">
        <v>42</v>
      </c>
      <c r="H5" s="25"/>
    </row>
    <row r="6" spans="1:8" s="2" customFormat="1">
      <c r="A6" s="16" t="s">
        <v>29</v>
      </c>
      <c r="B6" s="18" t="s">
        <v>30</v>
      </c>
      <c r="C6" s="18" t="s">
        <v>0</v>
      </c>
      <c r="D6" s="16"/>
      <c r="F6" s="32"/>
    </row>
    <row r="7" spans="1:8" s="2" customFormat="1">
      <c r="A7" s="16" t="s">
        <v>31</v>
      </c>
      <c r="B7" s="18" t="s">
        <v>32</v>
      </c>
      <c r="C7" s="18" t="s">
        <v>0</v>
      </c>
      <c r="D7" s="16"/>
      <c r="F7" s="23"/>
    </row>
    <row r="8" spans="1:8" s="2" customFormat="1" ht="37.5">
      <c r="A8" s="26" t="s">
        <v>33</v>
      </c>
      <c r="B8" s="17" t="s">
        <v>14</v>
      </c>
      <c r="C8" s="17" t="s">
        <v>34</v>
      </c>
      <c r="D8" s="26" t="s">
        <v>12</v>
      </c>
      <c r="F8" s="32"/>
    </row>
    <row r="12" spans="1:8" s="2" customFormat="1" ht="13">
      <c r="A12" s="5" t="s">
        <v>7</v>
      </c>
      <c r="B12" s="4"/>
      <c r="C12" s="4"/>
      <c r="D12" s="1"/>
    </row>
    <row r="13" spans="1:8" s="2" customFormat="1">
      <c r="A13" s="1" t="s">
        <v>83</v>
      </c>
      <c r="B13" s="4"/>
      <c r="C13" s="4"/>
      <c r="D13" s="1"/>
    </row>
  </sheetData>
  <pageMargins left="0.18" right="0.78740157499999996" top="0.23" bottom="0.984251969" header="0.14000000000000001" footer="0.4921259845"/>
  <pageSetup paperSize="9" orientation="landscape" verticalDpi="0" r:id="rId1"/>
  <headerFooter alignWithMargins="0"/>
  <customProperties>
    <customPr name="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H12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2.84375" style="4" bestFit="1" customWidth="1"/>
    <col min="3" max="3" width="21.61328125" style="4" customWidth="1"/>
    <col min="4" max="4" width="67.765625" style="10" customWidth="1"/>
    <col min="5" max="5" width="5.84375" style="1" customWidth="1"/>
    <col min="6" max="6" width="31.84375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9" t="s">
        <v>11</v>
      </c>
      <c r="F1" s="14" t="s">
        <v>65</v>
      </c>
    </row>
    <row r="2" spans="1:8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ht="37.5">
      <c r="A3" s="16" t="s">
        <v>9</v>
      </c>
      <c r="B3" s="17" t="s">
        <v>16</v>
      </c>
      <c r="C3" s="18" t="s">
        <v>0</v>
      </c>
      <c r="D3" s="19" t="s">
        <v>27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6" t="s">
        <v>43</v>
      </c>
      <c r="H4" s="25"/>
    </row>
    <row r="5" spans="1:8" ht="37.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6" t="s">
        <v>42</v>
      </c>
      <c r="H5" s="25"/>
    </row>
    <row r="6" spans="1:8">
      <c r="A6" s="16" t="s">
        <v>35</v>
      </c>
      <c r="B6" s="18" t="s">
        <v>30</v>
      </c>
      <c r="C6" s="18" t="s">
        <v>0</v>
      </c>
      <c r="D6" s="19"/>
      <c r="F6" s="26"/>
    </row>
    <row r="7" spans="1:8">
      <c r="A7" s="16" t="s">
        <v>36</v>
      </c>
      <c r="B7" s="18" t="s">
        <v>32</v>
      </c>
      <c r="C7" s="18" t="s">
        <v>0</v>
      </c>
      <c r="D7" s="19" t="s">
        <v>10</v>
      </c>
      <c r="F7" s="19"/>
    </row>
    <row r="8" spans="1:8" ht="37.5">
      <c r="A8" s="16" t="s">
        <v>37</v>
      </c>
      <c r="B8" s="17" t="s">
        <v>16</v>
      </c>
      <c r="C8" s="17" t="s">
        <v>38</v>
      </c>
      <c r="D8" s="26" t="s">
        <v>12</v>
      </c>
      <c r="F8" s="26"/>
    </row>
    <row r="9" spans="1:8">
      <c r="A9" s="28" t="s">
        <v>8</v>
      </c>
      <c r="B9" s="29" t="s">
        <v>6</v>
      </c>
      <c r="C9" s="30" t="s">
        <v>1</v>
      </c>
      <c r="D9" s="31"/>
      <c r="F9" s="26"/>
    </row>
    <row r="11" spans="1:8" ht="13">
      <c r="A11" s="11" t="s">
        <v>7</v>
      </c>
      <c r="D11" s="1"/>
    </row>
    <row r="12" spans="1:8">
      <c r="A12" s="1" t="s">
        <v>84</v>
      </c>
      <c r="D12" s="1"/>
    </row>
  </sheetData>
  <pageMargins left="0.24" right="0.78740157499999996" top="0.18" bottom="0.17" header="0.16" footer="0.15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H13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2.84375" style="4" bestFit="1" customWidth="1"/>
    <col min="3" max="3" width="9.4609375" style="4" bestFit="1" customWidth="1"/>
    <col min="4" max="4" width="59" style="1" customWidth="1"/>
    <col min="5" max="5" width="4.765625" style="1" customWidth="1"/>
    <col min="6" max="6" width="30.3828125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8" t="s">
        <v>11</v>
      </c>
      <c r="F1" s="14" t="s">
        <v>65</v>
      </c>
    </row>
    <row r="2" spans="1:8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ht="37.5">
      <c r="A3" s="3" t="s">
        <v>9</v>
      </c>
      <c r="B3" s="13" t="s">
        <v>16</v>
      </c>
      <c r="C3" s="13" t="s">
        <v>0</v>
      </c>
      <c r="D3" s="32" t="s">
        <v>13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6" t="s">
        <v>43</v>
      </c>
      <c r="H4" s="25"/>
    </row>
    <row r="5" spans="1:8" ht="37.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6" t="s">
        <v>42</v>
      </c>
      <c r="H5" s="25"/>
    </row>
    <row r="6" spans="1:8">
      <c r="A6" s="3" t="s">
        <v>39</v>
      </c>
      <c r="B6" s="22" t="s">
        <v>30</v>
      </c>
      <c r="C6" s="22" t="s">
        <v>0</v>
      </c>
      <c r="D6" s="3"/>
      <c r="F6" s="26"/>
    </row>
    <row r="7" spans="1:8">
      <c r="A7" s="3" t="s">
        <v>40</v>
      </c>
      <c r="B7" s="13" t="s">
        <v>16</v>
      </c>
      <c r="C7" s="22" t="s">
        <v>41</v>
      </c>
      <c r="D7" s="3" t="s">
        <v>12</v>
      </c>
      <c r="F7" s="19"/>
    </row>
    <row r="8" spans="1:8">
      <c r="A8" s="3" t="s">
        <v>8</v>
      </c>
      <c r="B8" s="6" t="s">
        <v>6</v>
      </c>
      <c r="C8" s="22" t="s">
        <v>1</v>
      </c>
      <c r="D8" s="3"/>
      <c r="F8" s="26"/>
    </row>
    <row r="9" spans="1:8">
      <c r="F9" s="37"/>
    </row>
    <row r="12" spans="1:8" ht="13">
      <c r="A12" s="5" t="s">
        <v>7</v>
      </c>
    </row>
    <row r="13" spans="1:8">
      <c r="A13" s="1" t="s">
        <v>85</v>
      </c>
    </row>
  </sheetData>
  <pageMargins left="0.21" right="0.78740157499999996" top="0.24" bottom="0.59" header="0.18" footer="0.4921259845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15"/>
  <sheetViews>
    <sheetView workbookViewId="0"/>
  </sheetViews>
  <sheetFormatPr baseColWidth="10" defaultRowHeight="13.5"/>
  <sheetData>
    <row r="1" spans="1:256">
      <c r="A1" t="s">
        <v>79</v>
      </c>
      <c r="F1" t="e">
        <f>'page de garde'!A:A*"GqN!%"</f>
        <v>#VALUE!</v>
      </c>
      <c r="G1" t="e">
        <f>'page de garde'!B:B*"GqN!&amp;"</f>
        <v>#VALUE!</v>
      </c>
      <c r="H1" t="e">
        <f>'page de garde'!C:C*"GqN!'"</f>
        <v>#VALUE!</v>
      </c>
      <c r="I1" t="e">
        <f>'page de garde'!D:D*"GqN!("</f>
        <v>#VALUE!</v>
      </c>
      <c r="J1" t="e">
        <f>'page de garde'!E:E*"GqN!)"</f>
        <v>#VALUE!</v>
      </c>
      <c r="K1" t="e">
        <f>'page de garde'!F:F*"GqN!."</f>
        <v>#VALUE!</v>
      </c>
      <c r="L1" t="e">
        <f>'page de garde'!G:G*"GqN!/"</f>
        <v>#VALUE!</v>
      </c>
      <c r="M1" t="e">
        <f>'page de garde'!H:H*"GqN!0"</f>
        <v>#VALUE!</v>
      </c>
      <c r="N1" t="e">
        <f>'page de garde'!I:I*"GqN!1"</f>
        <v>#VALUE!</v>
      </c>
      <c r="O1" t="e">
        <f>'page de garde'!J:J*"GqN!2"</f>
        <v>#VALUE!</v>
      </c>
      <c r="P1" t="e">
        <f>'page de garde'!K:K*"GqN!3"</f>
        <v>#VALUE!</v>
      </c>
      <c r="Q1" t="e">
        <f>'page de garde'!L:L*"GqN!4"</f>
        <v>#VALUE!</v>
      </c>
      <c r="R1" t="e">
        <f>'page de garde'!M:M*"GqN!5"</f>
        <v>#VALUE!</v>
      </c>
      <c r="S1" t="e">
        <f>'page de garde'!N:N*"GqN!6"</f>
        <v>#VALUE!</v>
      </c>
      <c r="T1" t="e">
        <f>'page de garde'!O:O*"GqN!7"</f>
        <v>#VALUE!</v>
      </c>
      <c r="U1" t="e">
        <f>'page de garde'!P:P*"GqN!8"</f>
        <v>#VALUE!</v>
      </c>
      <c r="V1" t="e">
        <f>'page de garde'!Q:Q*"GqN!9"</f>
        <v>#VALUE!</v>
      </c>
      <c r="W1" t="e">
        <f>'page de garde'!R:R*"GqN!:"</f>
        <v>#VALUE!</v>
      </c>
      <c r="X1" t="e">
        <f>'page de garde'!S:S*"GqN!;"</f>
        <v>#VALUE!</v>
      </c>
      <c r="Y1" t="e">
        <f>'page de garde'!T:T*"GqN!&lt;"</f>
        <v>#VALUE!</v>
      </c>
      <c r="Z1" t="e">
        <f>'page de garde'!U:U*"GqN!="</f>
        <v>#VALUE!</v>
      </c>
      <c r="AA1" t="e">
        <f>'page de garde'!V:V*"GqN!&gt;"</f>
        <v>#VALUE!</v>
      </c>
      <c r="AB1" t="e">
        <f>'page de garde'!W:W*"GqN!?"</f>
        <v>#VALUE!</v>
      </c>
      <c r="AC1" t="e">
        <f>'page de garde'!X:X*"GqN!@"</f>
        <v>#VALUE!</v>
      </c>
      <c r="AD1" t="e">
        <f>'page de garde'!Y:Y*"GqN!A"</f>
        <v>#VALUE!</v>
      </c>
      <c r="AE1" t="e">
        <f>'page de garde'!Z:Z*"GqN!B"</f>
        <v>#VALUE!</v>
      </c>
      <c r="AF1" t="e">
        <f>'page de garde'!AA:AA*"GqN!C"</f>
        <v>#VALUE!</v>
      </c>
      <c r="AG1" t="e">
        <f>'page de garde'!AB:AB*"GqN!D"</f>
        <v>#VALUE!</v>
      </c>
      <c r="AH1" t="e">
        <f>'page de garde'!AC:AC*"GqN!E"</f>
        <v>#VALUE!</v>
      </c>
      <c r="AI1" t="e">
        <f>'page de garde'!AD:AD*"GqN!F"</f>
        <v>#VALUE!</v>
      </c>
      <c r="AJ1" t="e">
        <f>'page de garde'!AE:AE*"GqN!G"</f>
        <v>#VALUE!</v>
      </c>
      <c r="AK1" t="e">
        <f>'page de garde'!AF:AF*"GqN!H"</f>
        <v>#VALUE!</v>
      </c>
      <c r="AL1" t="e">
        <f>'page de garde'!AG:AG*"GqN!I"</f>
        <v>#VALUE!</v>
      </c>
      <c r="AM1" t="e">
        <f>'page de garde'!AH:AH*"GqN!J"</f>
        <v>#VALUE!</v>
      </c>
      <c r="AN1" t="e">
        <f>'page de garde'!AI:AI*"GqN!K"</f>
        <v>#VALUE!</v>
      </c>
      <c r="AO1" t="e">
        <f>'page de garde'!AJ:AJ*"GqN!L"</f>
        <v>#VALUE!</v>
      </c>
      <c r="AP1" t="e">
        <f>'page de garde'!AK:AK*"GqN!M"</f>
        <v>#VALUE!</v>
      </c>
      <c r="AQ1" t="e">
        <f>'page de garde'!AL:AL*"GqN!N"</f>
        <v>#VALUE!</v>
      </c>
      <c r="AR1" t="e">
        <f>'page de garde'!AM:AM*"GqN!O"</f>
        <v>#VALUE!</v>
      </c>
      <c r="AS1" t="e">
        <f>'page de garde'!AN:AN*"GqN!P"</f>
        <v>#VALUE!</v>
      </c>
      <c r="AT1" t="e">
        <f>'page de garde'!AO:AO*"GqN!Q"</f>
        <v>#VALUE!</v>
      </c>
      <c r="AU1" t="e">
        <f>'page de garde'!AP:AP*"GqN!R"</f>
        <v>#VALUE!</v>
      </c>
      <c r="AV1" t="e">
        <f>'page de garde'!AQ:AQ*"GqN!S"</f>
        <v>#VALUE!</v>
      </c>
      <c r="AW1" t="e">
        <f>'page de garde'!AR:AR*"GqN!T"</f>
        <v>#VALUE!</v>
      </c>
      <c r="AX1" t="e">
        <f>'page de garde'!AS:AS*"GqN!U"</f>
        <v>#VALUE!</v>
      </c>
      <c r="AY1" t="e">
        <f>'page de garde'!AT:AT*"GqN!V"</f>
        <v>#VALUE!</v>
      </c>
      <c r="AZ1" t="e">
        <f>'page de garde'!AU:AU*"GqN!W"</f>
        <v>#VALUE!</v>
      </c>
      <c r="BA1" t="e">
        <f>'page de garde'!AV:AV*"GqN!X"</f>
        <v>#VALUE!</v>
      </c>
      <c r="BB1" t="e">
        <f>'page de garde'!AW:AW*"GqN!Y"</f>
        <v>#VALUE!</v>
      </c>
      <c r="BC1" t="e">
        <f>'page de garde'!AX:AX*"GqN!Z"</f>
        <v>#VALUE!</v>
      </c>
      <c r="BD1" t="e">
        <f>'page de garde'!AY:AY*"GqN!["</f>
        <v>#VALUE!</v>
      </c>
      <c r="BE1" t="e">
        <f>'page de garde'!1:1-"GqN!\"</f>
        <v>#VALUE!</v>
      </c>
      <c r="BF1" t="e">
        <f>'page de garde'!2:2-"GqN!]"</f>
        <v>#VALUE!</v>
      </c>
      <c r="BG1" t="e">
        <f>'page de garde'!3:3-"GqN!^"</f>
        <v>#VALUE!</v>
      </c>
      <c r="BH1" t="e">
        <f>'page de garde'!4:4-"GqN!_"</f>
        <v>#VALUE!</v>
      </c>
      <c r="BI1" t="e">
        <f>'page de garde'!5:5-"GqN!`"</f>
        <v>#VALUE!</v>
      </c>
      <c r="BJ1" t="e">
        <f>'page de garde'!6:6-"GqN!a"</f>
        <v>#VALUE!</v>
      </c>
      <c r="BK1" t="e">
        <f>'page de garde'!7:7-"GqN!b"</f>
        <v>#VALUE!</v>
      </c>
      <c r="BL1" t="e">
        <f>'page de garde'!8:8-"GqN!c"</f>
        <v>#VALUE!</v>
      </c>
      <c r="BM1" t="e">
        <f>'page de garde'!9:9-"GqN!d"</f>
        <v>#VALUE!</v>
      </c>
      <c r="BN1" t="e">
        <f>'page de garde'!10:10-"GqN!e"</f>
        <v>#VALUE!</v>
      </c>
      <c r="BO1" t="e">
        <f>'page de garde'!11:11-"GqN!f"</f>
        <v>#VALUE!</v>
      </c>
      <c r="BP1" t="e">
        <f>'page de garde'!12:12-"GqN!g"</f>
        <v>#VALUE!</v>
      </c>
      <c r="BQ1" t="e">
        <f>'page de garde'!13:13-"GqN!h"</f>
        <v>#VALUE!</v>
      </c>
      <c r="BR1" t="e">
        <f>'page de garde'!14:14-"GqN!i"</f>
        <v>#VALUE!</v>
      </c>
      <c r="BS1" t="e">
        <f>'page de garde'!15:15-"GqN!j"</f>
        <v>#VALUE!</v>
      </c>
      <c r="BT1" t="e">
        <f>'page de garde'!16:16-"GqN!k"</f>
        <v>#VALUE!</v>
      </c>
      <c r="BU1" t="e">
        <f>'page de garde'!17:17-"GqN!l"</f>
        <v>#VALUE!</v>
      </c>
      <c r="BV1" t="e">
        <f>'page de garde'!18:18-"GqN!m"</f>
        <v>#VALUE!</v>
      </c>
      <c r="BW1" t="e">
        <f>'page de garde'!19:19-"GqN!n"</f>
        <v>#VALUE!</v>
      </c>
      <c r="BX1" t="e">
        <f>'page de garde'!20:20-"GqN!o"</f>
        <v>#VALUE!</v>
      </c>
      <c r="BY1" t="e">
        <f>'page de garde'!21:21-"GqN!p"</f>
        <v>#VALUE!</v>
      </c>
      <c r="BZ1" t="e">
        <f>'page de garde'!22:22-"GqN!q"</f>
        <v>#VALUE!</v>
      </c>
      <c r="CA1" t="e">
        <f>'page de garde'!23:23-"GqN!r"</f>
        <v>#VALUE!</v>
      </c>
      <c r="CB1" t="e">
        <f>'page de garde'!24:24-"GqN!s"</f>
        <v>#VALUE!</v>
      </c>
      <c r="CC1" t="e">
        <f>'page de garde'!25:25-"GqN!t"</f>
        <v>#VALUE!</v>
      </c>
      <c r="CD1" t="e">
        <f>'page de garde'!26:26-"GqN!u"</f>
        <v>#VALUE!</v>
      </c>
      <c r="CE1" t="e">
        <f>'page de garde'!27:27-"GqN!v"</f>
        <v>#VALUE!</v>
      </c>
      <c r="CF1" t="e">
        <f>'page de garde'!28:28-"GqN!w"</f>
        <v>#VALUE!</v>
      </c>
      <c r="CG1" t="e">
        <f>'page de garde'!29:29-"GqN!x"</f>
        <v>#VALUE!</v>
      </c>
      <c r="CH1" t="e">
        <f>'page de garde'!30:30-"GqN!y"</f>
        <v>#VALUE!</v>
      </c>
      <c r="CI1" t="e">
        <f>'page de garde'!31:31-"GqN!z"</f>
        <v>#VALUE!</v>
      </c>
      <c r="CJ1" t="e">
        <f>'page de garde'!32:32-"GqN!{"</f>
        <v>#VALUE!</v>
      </c>
      <c r="CK1" t="e">
        <f>'page de garde'!33:33-"GqN!|"</f>
        <v>#VALUE!</v>
      </c>
      <c r="CL1" t="e">
        <f>'page de garde'!34:34-"GqN!}"</f>
        <v>#VALUE!</v>
      </c>
      <c r="CM1" t="e">
        <f>'page de garde'!35:35-"GqN!~"</f>
        <v>#VALUE!</v>
      </c>
      <c r="CN1" t="e">
        <f>'page de garde'!36:36-"GqN!$#"</f>
        <v>#VALUE!</v>
      </c>
      <c r="CO1" t="e">
        <f>'page de garde'!37:37-"GqN!$$"</f>
        <v>#VALUE!</v>
      </c>
      <c r="CP1" t="e">
        <f>'page de garde'!38:38-"GqN!$%"</f>
        <v>#VALUE!</v>
      </c>
      <c r="CQ1" t="e">
        <f>'page de garde'!39:39-"GqN!$&amp;"</f>
        <v>#VALUE!</v>
      </c>
      <c r="CR1" t="e">
        <f>'page de garde'!40:40-"GqN!$'"</f>
        <v>#VALUE!</v>
      </c>
      <c r="CS1" t="e">
        <f>'page de garde'!41:41-"GqN!$("</f>
        <v>#VALUE!</v>
      </c>
      <c r="CT1" t="e">
        <f>'page de garde'!42:42-"GqN!$)"</f>
        <v>#VALUE!</v>
      </c>
      <c r="CU1" t="e">
        <f>'page de garde'!43:43-"GqN!$."</f>
        <v>#VALUE!</v>
      </c>
      <c r="CV1" t="e">
        <f>'page de garde'!44:44-"GqN!$/"</f>
        <v>#VALUE!</v>
      </c>
      <c r="CW1" t="e">
        <f>'page de garde'!45:45-"GqN!$0"</f>
        <v>#VALUE!</v>
      </c>
      <c r="CX1" t="e">
        <f>'page de garde'!46:46-"GqN!$1"</f>
        <v>#VALUE!</v>
      </c>
      <c r="CY1" t="e">
        <f>'page de garde'!47:47-"GqN!$2"</f>
        <v>#VALUE!</v>
      </c>
      <c r="CZ1" t="e">
        <f>'page de garde'!48:48-"GqN!$3"</f>
        <v>#VALUE!</v>
      </c>
      <c r="DA1" t="e">
        <f>'page de garde'!49:49-"GqN!$4"</f>
        <v>#VALUE!</v>
      </c>
      <c r="DB1" t="e">
        <f>'page de garde'!50:50-"GqN!$5"</f>
        <v>#VALUE!</v>
      </c>
      <c r="DC1" t="e">
        <f>'page de garde'!51:51-"GqN!$6"</f>
        <v>#VALUE!</v>
      </c>
      <c r="DD1" t="e">
        <f>'page de garde'!52:52-"GqN!$7"</f>
        <v>#VALUE!</v>
      </c>
      <c r="DE1" t="e">
        <f>'page de garde'!53:53-"GqN!$8"</f>
        <v>#VALUE!</v>
      </c>
      <c r="DF1" t="e">
        <f>'page de garde'!54:54-"GqN!$9"</f>
        <v>#VALUE!</v>
      </c>
      <c r="DG1" t="e">
        <f>'page de garde'!55:55-"GqN!$:"</f>
        <v>#VALUE!</v>
      </c>
      <c r="DH1" t="e">
        <f>'page de garde'!56:56-"GqN!$;"</f>
        <v>#VALUE!</v>
      </c>
      <c r="DI1" t="e">
        <f>'page de garde'!57:57-"GqN!$&lt;"</f>
        <v>#VALUE!</v>
      </c>
      <c r="DJ1" t="e">
        <f>'page de garde'!58:58-"GqN!$="</f>
        <v>#VALUE!</v>
      </c>
      <c r="DK1" t="e">
        <f>'page de garde'!59:59-"GqN!$&gt;"</f>
        <v>#VALUE!</v>
      </c>
      <c r="DL1" t="e">
        <f>'page de garde'!60:60-"GqN!$?"</f>
        <v>#VALUE!</v>
      </c>
      <c r="DM1" t="e">
        <f>'page de garde'!61:61-"GqN!$@"</f>
        <v>#VALUE!</v>
      </c>
      <c r="DN1" t="e">
        <f>'page de garde'!62:62-"GqN!$A"</f>
        <v>#VALUE!</v>
      </c>
      <c r="DO1" t="e">
        <f>'page de garde'!63:63-"GqN!$B"</f>
        <v>#VALUE!</v>
      </c>
      <c r="DP1" t="e">
        <f>'page de garde'!64:64-"GqN!$C"</f>
        <v>#VALUE!</v>
      </c>
      <c r="DQ1" t="e">
        <f>'page de garde'!65:65-"GqN!$D"</f>
        <v>#VALUE!</v>
      </c>
      <c r="DR1" t="e">
        <f>'page de garde'!66:66-"GqN!$E"</f>
        <v>#VALUE!</v>
      </c>
      <c r="DS1" t="e">
        <f>'page de garde'!67:67-"GqN!$F"</f>
        <v>#VALUE!</v>
      </c>
      <c r="DT1" t="e">
        <f>'page de garde'!68:68-"GqN!$G"</f>
        <v>#VALUE!</v>
      </c>
      <c r="DU1" t="e">
        <f>'page de garde'!69:69-"GqN!$H"</f>
        <v>#VALUE!</v>
      </c>
      <c r="DV1" t="e">
        <f>'page de garde'!70:70-"GqN!$I"</f>
        <v>#VALUE!</v>
      </c>
      <c r="DW1" t="e">
        <f>'page de garde'!71:71-"GqN!$J"</f>
        <v>#VALUE!</v>
      </c>
      <c r="DX1" t="e">
        <f>'page de garde'!72:72-"GqN!$K"</f>
        <v>#VALUE!</v>
      </c>
      <c r="DY1" t="e">
        <f>'page de garde'!73:73-"GqN!$L"</f>
        <v>#VALUE!</v>
      </c>
      <c r="DZ1" t="e">
        <f>'page de garde'!74:74-"GqN!$M"</f>
        <v>#VALUE!</v>
      </c>
      <c r="EA1" t="e">
        <f>'page de garde'!75:75-"GqN!$N"</f>
        <v>#VALUE!</v>
      </c>
      <c r="EB1" t="e">
        <f>'page de garde'!76:76-"GqN!$O"</f>
        <v>#VALUE!</v>
      </c>
      <c r="EC1" t="e">
        <f>'page de garde'!77:77-"GqN!$P"</f>
        <v>#VALUE!</v>
      </c>
      <c r="ED1" t="e">
        <f>'page de garde'!78:78-"GqN!$Q"</f>
        <v>#VALUE!</v>
      </c>
      <c r="EE1" t="e">
        <f>'page de garde'!79:79-"GqN!$R"</f>
        <v>#VALUE!</v>
      </c>
      <c r="EF1" t="e">
        <f>'page de garde'!80:80-"GqN!$S"</f>
        <v>#VALUE!</v>
      </c>
      <c r="EG1" t="e">
        <f>'page de garde'!81:81-"GqN!$T"</f>
        <v>#VALUE!</v>
      </c>
      <c r="EH1" t="e">
        <f>'page de garde'!82:82-"GqN!$U"</f>
        <v>#VALUE!</v>
      </c>
      <c r="EI1" t="e">
        <f>'page de garde'!83:83-"GqN!$V"</f>
        <v>#VALUE!</v>
      </c>
      <c r="EJ1" t="e">
        <f>'page de garde'!84:84-"GqN!$W"</f>
        <v>#VALUE!</v>
      </c>
      <c r="EK1" t="e">
        <f>'page de garde'!85:85-"GqN!$X"</f>
        <v>#VALUE!</v>
      </c>
      <c r="EL1" t="e">
        <f>'page de garde'!86:86-"GqN!$Y"</f>
        <v>#VALUE!</v>
      </c>
      <c r="EM1" t="e">
        <f>'page de garde'!87:87-"GqN!$Z"</f>
        <v>#VALUE!</v>
      </c>
      <c r="EN1" t="e">
        <f>'page de garde'!88:88-"GqN!$["</f>
        <v>#VALUE!</v>
      </c>
      <c r="EO1" t="e">
        <f>'page de garde'!89:89-"GqN!$\"</f>
        <v>#VALUE!</v>
      </c>
      <c r="EP1" t="e">
        <f>'page de garde'!90:90-"GqN!$]"</f>
        <v>#VALUE!</v>
      </c>
      <c r="EQ1" t="e">
        <f>'page de garde'!91:91-"GqN!$^"</f>
        <v>#VALUE!</v>
      </c>
      <c r="ER1" t="e">
        <f>'page de garde'!92:92-"GqN!$_"</f>
        <v>#VALUE!</v>
      </c>
      <c r="ES1" t="e">
        <f>'page de garde'!93:93-"GqN!$`"</f>
        <v>#VALUE!</v>
      </c>
      <c r="ET1" t="e">
        <f>'page de garde'!94:94-"GqN!$a"</f>
        <v>#VALUE!</v>
      </c>
      <c r="EU1" t="e">
        <f>'page de garde'!95:95-"GqN!$b"</f>
        <v>#VALUE!</v>
      </c>
      <c r="EV1" t="e">
        <f>'page de garde'!96:96-"GqN!$c"</f>
        <v>#VALUE!</v>
      </c>
      <c r="EW1" t="e">
        <f>'page de garde'!97:97-"GqN!$d"</f>
        <v>#VALUE!</v>
      </c>
      <c r="EX1" t="e">
        <f>'page de garde'!98:98-"GqN!$e"</f>
        <v>#VALUE!</v>
      </c>
      <c r="EY1" t="e">
        <f>'page de garde'!99:99-"GqN!$f"</f>
        <v>#VALUE!</v>
      </c>
      <c r="EZ1" t="e">
        <f>'page de garde'!100:100-"GqN!$g"</f>
        <v>#VALUE!</v>
      </c>
      <c r="FA1" t="e">
        <f>'page de garde'!101:101-"GqN!$h"</f>
        <v>#VALUE!</v>
      </c>
      <c r="FB1" t="e">
        <f>'page de garde'!102:102-"GqN!$i"</f>
        <v>#VALUE!</v>
      </c>
      <c r="FC1" t="e">
        <f>'page de garde'!103:103-"GqN!$j"</f>
        <v>#VALUE!</v>
      </c>
      <c r="FD1" t="e">
        <f>'page de garde'!104:104-"GqN!$k"</f>
        <v>#VALUE!</v>
      </c>
      <c r="FE1" t="e">
        <f>'page de garde'!105:105-"GqN!$l"</f>
        <v>#VALUE!</v>
      </c>
      <c r="FF1" t="e">
        <f>'page de garde'!106:106-"GqN!$m"</f>
        <v>#VALUE!</v>
      </c>
      <c r="FG1" t="e">
        <f>'page de garde'!107:107-"GqN!$n"</f>
        <v>#VALUE!</v>
      </c>
      <c r="FH1" t="e">
        <f>'page de garde'!108:108-"GqN!$o"</f>
        <v>#VALUE!</v>
      </c>
      <c r="FI1" t="e">
        <f>'page de garde'!109:109-"GqN!$p"</f>
        <v>#VALUE!</v>
      </c>
      <c r="FJ1" t="e">
        <f>'page de garde'!110:110-"GqN!$q"</f>
        <v>#VALUE!</v>
      </c>
      <c r="FK1" t="e">
        <f>'page de garde'!111:111-"GqN!$r"</f>
        <v>#VALUE!</v>
      </c>
      <c r="FL1" t="e">
        <f>'page de garde'!112:112-"GqN!$s"</f>
        <v>#VALUE!</v>
      </c>
      <c r="FM1" t="e">
        <f>'page de garde'!113:113-"GqN!$t"</f>
        <v>#VALUE!</v>
      </c>
      <c r="FN1" t="e">
        <f>'page de garde'!114:114-"GqN!$u"</f>
        <v>#VALUE!</v>
      </c>
      <c r="FO1" t="e">
        <f>'page de garde'!115:115-"GqN!$v"</f>
        <v>#VALUE!</v>
      </c>
      <c r="FP1" t="e">
        <f>'page de garde'!116:116-"GqN!$w"</f>
        <v>#VALUE!</v>
      </c>
      <c r="FQ1" t="e">
        <f>'page de garde'!117:117-"GqN!$x"</f>
        <v>#VALUE!</v>
      </c>
      <c r="FR1" t="e">
        <f>'page de garde'!118:118-"GqN!$y"</f>
        <v>#VALUE!</v>
      </c>
      <c r="FS1" t="e">
        <f>'page de garde'!119:119-"GqN!$z"</f>
        <v>#VALUE!</v>
      </c>
      <c r="FT1" t="e">
        <f>'page de garde'!120:120-"GqN!${"</f>
        <v>#VALUE!</v>
      </c>
      <c r="FU1" t="e">
        <f>'page de garde'!121:121-"GqN!$|"</f>
        <v>#VALUE!</v>
      </c>
      <c r="FV1" t="e">
        <f>'page de garde'!122:122-"GqN!$}"</f>
        <v>#VALUE!</v>
      </c>
      <c r="FW1" t="e">
        <f>'page de garde'!123:123-"GqN!$~"</f>
        <v>#VALUE!</v>
      </c>
      <c r="FX1" t="e">
        <f>'page de garde'!124:124-"GqN!%#"</f>
        <v>#VALUE!</v>
      </c>
      <c r="FY1" t="e">
        <f>'page de garde'!125:125-"GqN!%$"</f>
        <v>#VALUE!</v>
      </c>
      <c r="FZ1" t="e">
        <f>'page de garde'!126:126-"GqN!%%"</f>
        <v>#VALUE!</v>
      </c>
      <c r="GA1" t="e">
        <f>'page de garde'!127:127-"GqN!%&amp;"</f>
        <v>#VALUE!</v>
      </c>
      <c r="GB1" t="e">
        <f>'page de garde'!128:128-"GqN!%'"</f>
        <v>#VALUE!</v>
      </c>
      <c r="GC1" t="e">
        <f>'page de garde'!129:129-"GqN!%("</f>
        <v>#VALUE!</v>
      </c>
      <c r="GD1" t="e">
        <f>'page de garde'!130:130-"GqN!%)"</f>
        <v>#VALUE!</v>
      </c>
      <c r="GE1" t="e">
        <f>'page de garde'!131:131-"GqN!%."</f>
        <v>#VALUE!</v>
      </c>
      <c r="GF1" t="e">
        <f>'page de garde'!132:132-"GqN!%/"</f>
        <v>#VALUE!</v>
      </c>
      <c r="GG1" t="e">
        <f>'page de garde'!133:133-"GqN!%0"</f>
        <v>#VALUE!</v>
      </c>
      <c r="GH1" t="e">
        <f>'page de garde'!134:134-"GqN!%1"</f>
        <v>#VALUE!</v>
      </c>
      <c r="GI1" t="e">
        <f>'page de garde'!135:135-"GqN!%2"</f>
        <v>#VALUE!</v>
      </c>
      <c r="GJ1" t="e">
        <f>'page de garde'!136:136-"GqN!%3"</f>
        <v>#VALUE!</v>
      </c>
      <c r="GK1" t="e">
        <f>'page de garde'!137:137-"GqN!%4"</f>
        <v>#VALUE!</v>
      </c>
      <c r="GL1" t="e">
        <f>'page de garde'!138:138-"GqN!%5"</f>
        <v>#VALUE!</v>
      </c>
      <c r="GM1" t="e">
        <f>'page de garde'!139:139-"GqN!%6"</f>
        <v>#VALUE!</v>
      </c>
      <c r="GN1" t="e">
        <f>'page de garde'!140:140-"GqN!%7"</f>
        <v>#VALUE!</v>
      </c>
      <c r="GO1" t="e">
        <f>'page de garde'!141:141-"GqN!%8"</f>
        <v>#VALUE!</v>
      </c>
      <c r="GP1" t="e">
        <f>'page de garde'!142:142-"GqN!%9"</f>
        <v>#VALUE!</v>
      </c>
      <c r="GQ1" t="e">
        <f>'page de garde'!143:143-"GqN!%:"</f>
        <v>#VALUE!</v>
      </c>
      <c r="GR1" t="e">
        <f>'page de garde'!144:144-"GqN!%;"</f>
        <v>#VALUE!</v>
      </c>
      <c r="GS1" t="e">
        <f>'page de garde'!145:145-"GqN!%&lt;"</f>
        <v>#VALUE!</v>
      </c>
      <c r="GT1" t="e">
        <f>'page de garde'!146:146-"GqN!%="</f>
        <v>#VALUE!</v>
      </c>
      <c r="GU1" t="e">
        <f>'page de garde'!147:147-"GqN!%&gt;"</f>
        <v>#VALUE!</v>
      </c>
      <c r="GV1" t="e">
        <f>'page de garde'!148:148-"GqN!%?"</f>
        <v>#VALUE!</v>
      </c>
      <c r="GW1" t="e">
        <f>'page de garde'!149:149-"GqN!%@"</f>
        <v>#VALUE!</v>
      </c>
      <c r="GX1" t="e">
        <f>'page de garde'!150:150-"GqN!%A"</f>
        <v>#VALUE!</v>
      </c>
      <c r="GY1" t="e">
        <f>'page de garde'!151:151-"GqN!%B"</f>
        <v>#VALUE!</v>
      </c>
      <c r="GZ1" t="e">
        <f>'page de garde'!152:152-"GqN!%C"</f>
        <v>#VALUE!</v>
      </c>
      <c r="HA1" t="e">
        <f>'page de garde'!153:153-"GqN!%D"</f>
        <v>#VALUE!</v>
      </c>
      <c r="HB1" t="e">
        <f>'page de garde'!154:154-"GqN!%E"</f>
        <v>#VALUE!</v>
      </c>
      <c r="HC1" t="e">
        <f>'page de garde'!155:155-"GqN!%F"</f>
        <v>#VALUE!</v>
      </c>
      <c r="HD1" t="e">
        <f>'page de garde'!156:156-"GqN!%G"</f>
        <v>#VALUE!</v>
      </c>
      <c r="HE1" t="e">
        <f>'page de garde'!157:157-"GqN!%H"</f>
        <v>#VALUE!</v>
      </c>
      <c r="HF1" t="e">
        <f>'page de garde'!158:158-"GqN!%I"</f>
        <v>#VALUE!</v>
      </c>
      <c r="HG1" t="e">
        <f>'page de garde'!159:159-"GqN!%J"</f>
        <v>#VALUE!</v>
      </c>
      <c r="HH1" t="e">
        <f>'page de garde'!160:160-"GqN!%K"</f>
        <v>#VALUE!</v>
      </c>
      <c r="HI1" t="e">
        <f>'page de garde'!161:161-"GqN!%L"</f>
        <v>#VALUE!</v>
      </c>
      <c r="HJ1" t="e">
        <f>'page de garde'!162:162-"GqN!%M"</f>
        <v>#VALUE!</v>
      </c>
      <c r="HK1" t="e">
        <f>'page de garde'!163:163-"GqN!%N"</f>
        <v>#VALUE!</v>
      </c>
      <c r="HL1" t="e">
        <f>'page de garde'!164:164-"GqN!%O"</f>
        <v>#VALUE!</v>
      </c>
      <c r="HM1" t="e">
        <f>'page de garde'!165:165-"GqN!%P"</f>
        <v>#VALUE!</v>
      </c>
      <c r="HN1" t="e">
        <f>'page de garde'!166:166-"GqN!%Q"</f>
        <v>#VALUE!</v>
      </c>
      <c r="HO1" t="e">
        <f>'page de garde'!167:167-"GqN!%R"</f>
        <v>#VALUE!</v>
      </c>
      <c r="HP1" t="e">
        <f>'page de garde'!168:168-"GqN!%S"</f>
        <v>#VALUE!</v>
      </c>
      <c r="HQ1" t="e">
        <f>'page de garde'!169:169-"GqN!%T"</f>
        <v>#VALUE!</v>
      </c>
      <c r="HR1" t="e">
        <f>'page de garde'!170:170-"GqN!%U"</f>
        <v>#VALUE!</v>
      </c>
      <c r="HS1" t="e">
        <f>'page de garde'!171:171-"GqN!%V"</f>
        <v>#VALUE!</v>
      </c>
      <c r="HT1" t="e">
        <f>'page de garde'!172:172-"GqN!%W"</f>
        <v>#VALUE!</v>
      </c>
      <c r="HU1" t="e">
        <f>'page de garde'!173:173-"GqN!%X"</f>
        <v>#VALUE!</v>
      </c>
      <c r="HV1" t="e">
        <f>'page de garde'!174:174-"GqN!%Y"</f>
        <v>#VALUE!</v>
      </c>
      <c r="HW1" t="e">
        <f>'page de garde'!175:175-"GqN!%Z"</f>
        <v>#VALUE!</v>
      </c>
      <c r="HX1" t="e">
        <f>'page de garde'!176:176-"GqN!%["</f>
        <v>#VALUE!</v>
      </c>
      <c r="HY1" t="e">
        <f>'page de garde'!177:177-"GqN!%\"</f>
        <v>#VALUE!</v>
      </c>
      <c r="HZ1" t="e">
        <f>'page de garde'!178:178-"GqN!%]"</f>
        <v>#VALUE!</v>
      </c>
      <c r="IA1" t="e">
        <f>'page de garde'!179:179-"GqN!%^"</f>
        <v>#VALUE!</v>
      </c>
      <c r="IB1" t="e">
        <f>'page de garde'!180:180-"GqN!%_"</f>
        <v>#VALUE!</v>
      </c>
      <c r="IC1" t="e">
        <f>'page de garde'!181:181-"GqN!%`"</f>
        <v>#VALUE!</v>
      </c>
      <c r="ID1" t="e">
        <f>'page de garde'!182:182-"GqN!%a"</f>
        <v>#VALUE!</v>
      </c>
      <c r="IE1" t="e">
        <f>'page de garde'!183:183-"GqN!%b"</f>
        <v>#VALUE!</v>
      </c>
      <c r="IF1" t="e">
        <f>'page de garde'!184:184-"GqN!%c"</f>
        <v>#VALUE!</v>
      </c>
      <c r="IG1" t="e">
        <f>'page de garde'!185:185-"GqN!%d"</f>
        <v>#VALUE!</v>
      </c>
      <c r="IH1" t="e">
        <f>'page de garde'!186:186-"GqN!%e"</f>
        <v>#VALUE!</v>
      </c>
      <c r="II1" t="e">
        <f>'page de garde'!187:187-"GqN!%f"</f>
        <v>#VALUE!</v>
      </c>
      <c r="IJ1" t="e">
        <f>'page de garde'!188:188-"GqN!%g"</f>
        <v>#VALUE!</v>
      </c>
      <c r="IK1" t="e">
        <f>'page de garde'!189:189-"GqN!%h"</f>
        <v>#VALUE!</v>
      </c>
      <c r="IL1" t="e">
        <f>'page de garde'!190:190-"GqN!%i"</f>
        <v>#VALUE!</v>
      </c>
      <c r="IM1" t="e">
        <f>'page de garde'!191:191-"GqN!%j"</f>
        <v>#VALUE!</v>
      </c>
      <c r="IN1" t="e">
        <f>'page de garde'!192:192-"GqN!%k"</f>
        <v>#VALUE!</v>
      </c>
      <c r="IO1" t="e">
        <f>'page de garde'!193:193-"GqN!%l"</f>
        <v>#VALUE!</v>
      </c>
      <c r="IP1" t="e">
        <f>'page de garde'!194:194-"GqN!%m"</f>
        <v>#VALUE!</v>
      </c>
      <c r="IQ1" t="e">
        <f>'page de garde'!195:195-"GqN!%n"</f>
        <v>#VALUE!</v>
      </c>
      <c r="IR1" t="e">
        <f>'page de garde'!196:196-"GqN!%o"</f>
        <v>#VALUE!</v>
      </c>
      <c r="IS1" t="e">
        <f>'page de garde'!197:197-"GqN!%p"</f>
        <v>#VALUE!</v>
      </c>
      <c r="IT1" t="e">
        <f>'page de garde'!198:198-"GqN!%q"</f>
        <v>#VALUE!</v>
      </c>
      <c r="IU1" t="e">
        <f>'page de garde'!199:199-"GqN!%r"</f>
        <v>#VALUE!</v>
      </c>
      <c r="IV1" t="e">
        <f>'page de garde'!200:200-"GqN!%s"</f>
        <v>#VALUE!</v>
      </c>
    </row>
    <row r="2" spans="1:256">
      <c r="A2" t="s">
        <v>80</v>
      </c>
      <c r="F2" t="e">
        <f>'page de garde'!201:201-"GqN!%t"</f>
        <v>#VALUE!</v>
      </c>
      <c r="G2" t="e">
        <f>'page de garde'!202:202-"GqN!%u"</f>
        <v>#VALUE!</v>
      </c>
      <c r="H2" t="e">
        <f>'page de garde'!203:203-"GqN!%v"</f>
        <v>#VALUE!</v>
      </c>
      <c r="I2" t="e">
        <f>'page de garde'!204:204-"GqN!%w"</f>
        <v>#VALUE!</v>
      </c>
      <c r="J2" t="e">
        <f>'page de garde'!205:205-"GqN!%x"</f>
        <v>#VALUE!</v>
      </c>
      <c r="K2" t="e">
        <f>'page de garde'!A3+"GqN!%y"</f>
        <v>#VALUE!</v>
      </c>
      <c r="L2" t="e">
        <f>'page de garde'!A5+"GqN!%z"</f>
        <v>#VALUE!</v>
      </c>
      <c r="M2" t="e">
        <f>#REF!*"GqN!%{"</f>
        <v>#REF!</v>
      </c>
      <c r="N2" t="e">
        <f>#REF!*"GqN!%|"</f>
        <v>#REF!</v>
      </c>
      <c r="O2" t="e">
        <f>#REF!*"GqN!%}"</f>
        <v>#REF!</v>
      </c>
      <c r="P2" t="e">
        <f>#REF!*"GqN!%~"</f>
        <v>#REF!</v>
      </c>
      <c r="Q2" t="e">
        <f>#REF!*"GqN!&amp;#"</f>
        <v>#REF!</v>
      </c>
      <c r="R2" t="e">
        <f>#REF!*"GqN!&amp;$"</f>
        <v>#REF!</v>
      </c>
      <c r="S2" t="e">
        <f>#REF!*"GqN!&amp;%"</f>
        <v>#REF!</v>
      </c>
      <c r="T2" t="e">
        <f>#REF!*"GqN!&amp;&amp;"</f>
        <v>#REF!</v>
      </c>
      <c r="U2" t="e">
        <f>#REF!*"GqN!&amp;'"</f>
        <v>#REF!</v>
      </c>
      <c r="V2" t="e">
        <f>#REF!*"GqN!&amp;("</f>
        <v>#REF!</v>
      </c>
      <c r="W2" t="e">
        <f>#REF!*"GqN!&amp;)"</f>
        <v>#REF!</v>
      </c>
      <c r="X2" t="e">
        <f>#REF!*"GqN!&amp;."</f>
        <v>#REF!</v>
      </c>
      <c r="Y2" t="e">
        <f>#REF!*"GqN!&amp;/"</f>
        <v>#REF!</v>
      </c>
      <c r="Z2" t="e">
        <f>#REF!*"GqN!&amp;0"</f>
        <v>#REF!</v>
      </c>
      <c r="AA2" t="e">
        <f>#REF!*"GqN!&amp;1"</f>
        <v>#REF!</v>
      </c>
      <c r="AB2" t="e">
        <f>#REF!*"GqN!&amp;2"</f>
        <v>#REF!</v>
      </c>
      <c r="AC2" t="e">
        <f>#REF!*"GqN!&amp;3"</f>
        <v>#REF!</v>
      </c>
      <c r="AD2" t="e">
        <f>#REF!*"GqN!&amp;4"</f>
        <v>#REF!</v>
      </c>
      <c r="AE2" t="e">
        <f>#REF!*"GqN!&amp;5"</f>
        <v>#REF!</v>
      </c>
      <c r="AF2" t="e">
        <f>#REF!*"GqN!&amp;6"</f>
        <v>#REF!</v>
      </c>
      <c r="AG2" t="e">
        <f>#REF!*"GqN!&amp;7"</f>
        <v>#REF!</v>
      </c>
      <c r="AH2" t="e">
        <f>#REF!*"GqN!&amp;8"</f>
        <v>#REF!</v>
      </c>
      <c r="AI2" t="e">
        <f>#REF!*"GqN!&amp;9"</f>
        <v>#REF!</v>
      </c>
      <c r="AJ2" t="e">
        <f>#REF!*"GqN!&amp;:"</f>
        <v>#REF!</v>
      </c>
      <c r="AK2" t="e">
        <f>#REF!*"GqN!&amp;;"</f>
        <v>#REF!</v>
      </c>
      <c r="AL2" t="e">
        <f>#REF!*"GqN!&amp;&lt;"</f>
        <v>#REF!</v>
      </c>
      <c r="AM2" t="e">
        <f>#REF!*"GqN!&amp;="</f>
        <v>#REF!</v>
      </c>
      <c r="AN2" t="e">
        <f>#REF!*"GqN!&amp;&gt;"</f>
        <v>#REF!</v>
      </c>
      <c r="AO2" t="e">
        <f>#REF!*"GqN!&amp;?"</f>
        <v>#REF!</v>
      </c>
      <c r="AP2" t="e">
        <f>#REF!*"GqN!&amp;@"</f>
        <v>#REF!</v>
      </c>
      <c r="AQ2" t="e">
        <f>#REF!*"GqN!&amp;A"</f>
        <v>#REF!</v>
      </c>
      <c r="AR2" t="e">
        <f>#REF!*"GqN!&amp;B"</f>
        <v>#REF!</v>
      </c>
      <c r="AS2" t="e">
        <f>#REF!*"GqN!&amp;C"</f>
        <v>#REF!</v>
      </c>
      <c r="AT2" t="e">
        <f>#REF!*"GqN!&amp;D"</f>
        <v>#REF!</v>
      </c>
      <c r="AU2" t="e">
        <f>#REF!*"GqN!&amp;E"</f>
        <v>#REF!</v>
      </c>
      <c r="AV2" t="e">
        <f>#REF!*"GqN!&amp;F"</f>
        <v>#REF!</v>
      </c>
      <c r="AW2" t="e">
        <f>#REF!*"GqN!&amp;G"</f>
        <v>#REF!</v>
      </c>
      <c r="AX2" t="e">
        <f>#REF!*"GqN!&amp;H"</f>
        <v>#REF!</v>
      </c>
      <c r="AY2" t="e">
        <f>#REF!*"GqN!&amp;I"</f>
        <v>#REF!</v>
      </c>
      <c r="AZ2" t="e">
        <f>#REF!*"GqN!&amp;J"</f>
        <v>#REF!</v>
      </c>
      <c r="BA2" t="e">
        <f>#REF!*"GqN!&amp;K"</f>
        <v>#REF!</v>
      </c>
      <c r="BB2" t="e">
        <f>#REF!*"GqN!&amp;L"</f>
        <v>#REF!</v>
      </c>
      <c r="BC2" t="e">
        <f>#REF!*"GqN!&amp;M"</f>
        <v>#REF!</v>
      </c>
      <c r="BD2" t="e">
        <f>#REF!*"GqN!&amp;N"</f>
        <v>#REF!</v>
      </c>
      <c r="BE2" t="e">
        <f>#REF!*"GqN!&amp;O"</f>
        <v>#REF!</v>
      </c>
      <c r="BF2" t="e">
        <f>#REF!*"GqN!&amp;P"</f>
        <v>#REF!</v>
      </c>
      <c r="BG2" t="e">
        <f>#REF!*"GqN!&amp;Q"</f>
        <v>#REF!</v>
      </c>
      <c r="BH2" t="e">
        <f>#REF!*"GqN!&amp;R"</f>
        <v>#REF!</v>
      </c>
      <c r="BI2" t="e">
        <f>#REF!*"GqN!&amp;S"</f>
        <v>#REF!</v>
      </c>
      <c r="BJ2" t="e">
        <f>#REF!*"GqN!&amp;T"</f>
        <v>#REF!</v>
      </c>
      <c r="BK2" t="e">
        <f>#REF!*"GqN!&amp;U"</f>
        <v>#REF!</v>
      </c>
      <c r="BL2" t="e">
        <f>#REF!*"GqN!&amp;V"</f>
        <v>#REF!</v>
      </c>
      <c r="BM2" t="e">
        <f>#REF!*"GqN!&amp;W"</f>
        <v>#REF!</v>
      </c>
      <c r="BN2" t="e">
        <f>#REF!*"GqN!&amp;X"</f>
        <v>#REF!</v>
      </c>
      <c r="BO2" t="e">
        <f>#REF!*"GqN!&amp;Y"</f>
        <v>#REF!</v>
      </c>
      <c r="BP2" t="e">
        <f>#REF!*"GqN!&amp;Z"</f>
        <v>#REF!</v>
      </c>
      <c r="BQ2" t="e">
        <f>#REF!*"GqN!&amp;["</f>
        <v>#REF!</v>
      </c>
      <c r="BR2" t="e">
        <f>#REF!*"GqN!&amp;\"</f>
        <v>#REF!</v>
      </c>
      <c r="BS2" t="e">
        <f>#REF!-"GqN!&amp;]"</f>
        <v>#REF!</v>
      </c>
      <c r="BT2" t="e">
        <f>#REF!-"GqN!&amp;^"</f>
        <v>#REF!</v>
      </c>
      <c r="BU2" t="e">
        <f>#REF!-"GqN!&amp;_"</f>
        <v>#REF!</v>
      </c>
      <c r="BV2" t="e">
        <f>#REF!-"GqN!&amp;`"</f>
        <v>#REF!</v>
      </c>
      <c r="BW2" t="e">
        <f>#REF!-"GqN!&amp;a"</f>
        <v>#REF!</v>
      </c>
      <c r="BX2" t="e">
        <f>#REF!-"GqN!&amp;b"</f>
        <v>#REF!</v>
      </c>
      <c r="BY2" t="e">
        <f>#REF!-"GqN!&amp;c"</f>
        <v>#REF!</v>
      </c>
      <c r="BZ2" t="e">
        <f>#REF!-"GqN!&amp;d"</f>
        <v>#REF!</v>
      </c>
      <c r="CA2" t="e">
        <f>#REF!-"GqN!&amp;e"</f>
        <v>#REF!</v>
      </c>
      <c r="CB2" t="e">
        <f>#REF!-"GqN!&amp;f"</f>
        <v>#REF!</v>
      </c>
      <c r="CC2" t="e">
        <f>#REF!-"GqN!&amp;g"</f>
        <v>#REF!</v>
      </c>
      <c r="CD2" t="e">
        <f>#REF!-"GqN!&amp;h"</f>
        <v>#REF!</v>
      </c>
      <c r="CE2" t="e">
        <f>#REF!-"GqN!&amp;i"</f>
        <v>#REF!</v>
      </c>
      <c r="CF2" t="e">
        <f>#REF!-"GqN!&amp;j"</f>
        <v>#REF!</v>
      </c>
      <c r="CG2" t="e">
        <f>#REF!-"GqN!&amp;k"</f>
        <v>#REF!</v>
      </c>
      <c r="CH2" t="e">
        <f>#REF!-"GqN!&amp;l"</f>
        <v>#REF!</v>
      </c>
      <c r="CI2" t="e">
        <f>#REF!-"GqN!&amp;m"</f>
        <v>#REF!</v>
      </c>
      <c r="CJ2" t="e">
        <f>#REF!-"GqN!&amp;n"</f>
        <v>#REF!</v>
      </c>
      <c r="CK2" t="e">
        <f>#REF!-"GqN!&amp;o"</f>
        <v>#REF!</v>
      </c>
      <c r="CL2" t="e">
        <f>#REF!-"GqN!&amp;p"</f>
        <v>#REF!</v>
      </c>
      <c r="CM2" t="e">
        <f>#REF!-"GqN!&amp;q"</f>
        <v>#REF!</v>
      </c>
      <c r="CN2" t="e">
        <f>#REF!-"GqN!&amp;r"</f>
        <v>#REF!</v>
      </c>
      <c r="CO2" t="e">
        <f>#REF!-"GqN!&amp;s"</f>
        <v>#REF!</v>
      </c>
      <c r="CP2" t="e">
        <f>#REF!-"GqN!&amp;t"</f>
        <v>#REF!</v>
      </c>
      <c r="CQ2" t="e">
        <f>#REF!-"GqN!&amp;u"</f>
        <v>#REF!</v>
      </c>
      <c r="CR2" t="e">
        <f>#REF!-"GqN!&amp;v"</f>
        <v>#REF!</v>
      </c>
      <c r="CS2" t="e">
        <f>#REF!-"GqN!&amp;w"</f>
        <v>#REF!</v>
      </c>
      <c r="CT2" t="e">
        <f>#REF!-"GqN!&amp;x"</f>
        <v>#REF!</v>
      </c>
      <c r="CU2" t="e">
        <f>#REF!-"GqN!&amp;y"</f>
        <v>#REF!</v>
      </c>
      <c r="CV2" t="e">
        <f>#REF!-"GqN!&amp;z"</f>
        <v>#REF!</v>
      </c>
      <c r="CW2" t="e">
        <f>#REF!-"GqN!&amp;{"</f>
        <v>#REF!</v>
      </c>
      <c r="CX2" t="e">
        <f>#REF!-"GqN!&amp;|"</f>
        <v>#REF!</v>
      </c>
      <c r="CY2" t="e">
        <f>#REF!-"GqN!&amp;}"</f>
        <v>#REF!</v>
      </c>
      <c r="CZ2" t="e">
        <f>#REF!-"GqN!&amp;~"</f>
        <v>#REF!</v>
      </c>
      <c r="DA2" t="e">
        <f>#REF!-"GqN!'#"</f>
        <v>#REF!</v>
      </c>
      <c r="DB2" t="e">
        <f>#REF!-"GqN!'$"</f>
        <v>#REF!</v>
      </c>
      <c r="DC2" t="e">
        <f>#REF!-"GqN!'%"</f>
        <v>#REF!</v>
      </c>
      <c r="DD2" t="e">
        <f>#REF!-"GqN!'&amp;"</f>
        <v>#REF!</v>
      </c>
      <c r="DE2" t="e">
        <f>#REF!-"GqN!''"</f>
        <v>#REF!</v>
      </c>
      <c r="DF2" t="e">
        <f>#REF!-"GqN!'("</f>
        <v>#REF!</v>
      </c>
      <c r="DG2" t="e">
        <f>#REF!-"GqN!')"</f>
        <v>#REF!</v>
      </c>
      <c r="DH2" t="e">
        <f>#REF!-"GqN!'."</f>
        <v>#REF!</v>
      </c>
      <c r="DI2" t="e">
        <f>#REF!-"GqN!'/"</f>
        <v>#REF!</v>
      </c>
      <c r="DJ2" t="e">
        <f>#REF!-"GqN!'0"</f>
        <v>#REF!</v>
      </c>
      <c r="DK2" t="e">
        <f>#REF!-"GqN!'1"</f>
        <v>#REF!</v>
      </c>
      <c r="DL2" t="e">
        <f>#REF!-"GqN!'2"</f>
        <v>#REF!</v>
      </c>
      <c r="DM2" t="e">
        <f>#REF!-"GqN!'3"</f>
        <v>#REF!</v>
      </c>
      <c r="DN2" t="e">
        <f>#REF!-"GqN!'4"</f>
        <v>#REF!</v>
      </c>
      <c r="DO2" t="e">
        <f>#REF!-"GqN!'5"</f>
        <v>#REF!</v>
      </c>
      <c r="DP2" t="e">
        <f>#REF!-"GqN!'6"</f>
        <v>#REF!</v>
      </c>
      <c r="DQ2" t="e">
        <f>#REF!-"GqN!'7"</f>
        <v>#REF!</v>
      </c>
      <c r="DR2" t="e">
        <f>#REF!-"GqN!'8"</f>
        <v>#REF!</v>
      </c>
      <c r="DS2" t="e">
        <f>#REF!-"GqN!'9"</f>
        <v>#REF!</v>
      </c>
      <c r="DT2" t="e">
        <f>#REF!-"GqN!':"</f>
        <v>#REF!</v>
      </c>
      <c r="DU2" t="e">
        <f>#REF!-"GqN!';"</f>
        <v>#REF!</v>
      </c>
      <c r="DV2" t="e">
        <f>#REF!-"GqN!'&lt;"</f>
        <v>#REF!</v>
      </c>
      <c r="DW2" t="e">
        <f>#REF!-"GqN!'="</f>
        <v>#REF!</v>
      </c>
      <c r="DX2" t="e">
        <f>#REF!-"GqN!'&gt;"</f>
        <v>#REF!</v>
      </c>
      <c r="DY2" t="e">
        <f>#REF!-"GqN!'?"</f>
        <v>#REF!</v>
      </c>
      <c r="DZ2" t="e">
        <f>#REF!-"GqN!'@"</f>
        <v>#REF!</v>
      </c>
      <c r="EA2" t="e">
        <f>#REF!-"GqN!'A"</f>
        <v>#REF!</v>
      </c>
      <c r="EB2" t="e">
        <f>#REF!-"GqN!'B"</f>
        <v>#REF!</v>
      </c>
      <c r="EC2" t="e">
        <f>#REF!-"GqN!'C"</f>
        <v>#REF!</v>
      </c>
      <c r="ED2" t="e">
        <f>#REF!-"GqN!'D"</f>
        <v>#REF!</v>
      </c>
      <c r="EE2" t="e">
        <f>#REF!-"GqN!'E"</f>
        <v>#REF!</v>
      </c>
      <c r="EF2" t="e">
        <f>#REF!-"GqN!'F"</f>
        <v>#REF!</v>
      </c>
      <c r="EG2" t="e">
        <f>#REF!-"GqN!'G"</f>
        <v>#REF!</v>
      </c>
      <c r="EH2" t="e">
        <f>#REF!-"GqN!'H"</f>
        <v>#REF!</v>
      </c>
      <c r="EI2" t="e">
        <f>#REF!-"GqN!'I"</f>
        <v>#REF!</v>
      </c>
      <c r="EJ2" t="e">
        <f>#REF!-"GqN!'J"</f>
        <v>#REF!</v>
      </c>
      <c r="EK2" t="e">
        <f>#REF!-"GqN!'K"</f>
        <v>#REF!</v>
      </c>
      <c r="EL2" t="e">
        <f>#REF!-"GqN!'L"</f>
        <v>#REF!</v>
      </c>
      <c r="EM2" t="e">
        <f>#REF!-"GqN!'M"</f>
        <v>#REF!</v>
      </c>
      <c r="EN2" t="e">
        <f>#REF!-"GqN!'N"</f>
        <v>#REF!</v>
      </c>
      <c r="EO2" t="e">
        <f>#REF!-"GqN!'O"</f>
        <v>#REF!</v>
      </c>
      <c r="EP2" t="e">
        <f>#REF!-"GqN!'P"</f>
        <v>#REF!</v>
      </c>
      <c r="EQ2" t="e">
        <f>#REF!-"GqN!'Q"</f>
        <v>#REF!</v>
      </c>
      <c r="ER2" t="e">
        <f>#REF!-"GqN!'R"</f>
        <v>#REF!</v>
      </c>
      <c r="ES2" t="e">
        <f>#REF!-"GqN!'S"</f>
        <v>#REF!</v>
      </c>
      <c r="ET2" t="e">
        <f>#REF!-"GqN!'T"</f>
        <v>#REF!</v>
      </c>
      <c r="EU2" t="e">
        <f>#REF!-"GqN!'U"</f>
        <v>#REF!</v>
      </c>
      <c r="EV2" t="e">
        <f>#REF!-"GqN!'V"</f>
        <v>#REF!</v>
      </c>
      <c r="EW2" t="e">
        <f>#REF!-"GqN!'W"</f>
        <v>#REF!</v>
      </c>
      <c r="EX2" t="e">
        <f>#REF!-"GqN!'X"</f>
        <v>#REF!</v>
      </c>
      <c r="EY2" t="e">
        <f>#REF!-"GqN!'Y"</f>
        <v>#REF!</v>
      </c>
      <c r="EZ2" t="e">
        <f>#REF!-"GqN!'Z"</f>
        <v>#REF!</v>
      </c>
      <c r="FA2" t="e">
        <f>#REF!-"GqN!'["</f>
        <v>#REF!</v>
      </c>
      <c r="FB2" t="e">
        <f>#REF!-"GqN!'\"</f>
        <v>#REF!</v>
      </c>
      <c r="FC2" t="e">
        <f>#REF!-"GqN!']"</f>
        <v>#REF!</v>
      </c>
      <c r="FD2" t="e">
        <f>#REF!-"GqN!'^"</f>
        <v>#REF!</v>
      </c>
      <c r="FE2" t="e">
        <f>#REF!-"GqN!'_"</f>
        <v>#REF!</v>
      </c>
      <c r="FF2" t="e">
        <f>#REF!-"GqN!'`"</f>
        <v>#REF!</v>
      </c>
      <c r="FG2" t="e">
        <f>#REF!-"GqN!'a"</f>
        <v>#REF!</v>
      </c>
      <c r="FH2" t="e">
        <f>#REF!-"GqN!'b"</f>
        <v>#REF!</v>
      </c>
      <c r="FI2" t="e">
        <f>#REF!-"GqN!'c"</f>
        <v>#REF!</v>
      </c>
      <c r="FJ2" t="e">
        <f>#REF!-"GqN!'d"</f>
        <v>#REF!</v>
      </c>
      <c r="FK2" t="e">
        <f>#REF!-"GqN!'e"</f>
        <v>#REF!</v>
      </c>
      <c r="FL2" t="e">
        <f>#REF!-"GqN!'f"</f>
        <v>#REF!</v>
      </c>
      <c r="FM2" t="e">
        <f>#REF!-"GqN!'g"</f>
        <v>#REF!</v>
      </c>
      <c r="FN2" t="e">
        <f>#REF!-"GqN!'h"</f>
        <v>#REF!</v>
      </c>
      <c r="FO2" t="e">
        <f>#REF!-"GqN!'i"</f>
        <v>#REF!</v>
      </c>
      <c r="FP2" t="e">
        <f>#REF!-"GqN!'j"</f>
        <v>#REF!</v>
      </c>
      <c r="FQ2" t="e">
        <f>#REF!-"GqN!'k"</f>
        <v>#REF!</v>
      </c>
      <c r="FR2" t="e">
        <f>#REF!-"GqN!'l"</f>
        <v>#REF!</v>
      </c>
      <c r="FS2" t="e">
        <f>#REF!-"GqN!'m"</f>
        <v>#REF!</v>
      </c>
      <c r="FT2" t="e">
        <f>#REF!-"GqN!'n"</f>
        <v>#REF!</v>
      </c>
      <c r="FU2" t="e">
        <f>#REF!-"GqN!'o"</f>
        <v>#REF!</v>
      </c>
      <c r="FV2" t="e">
        <f>#REF!-"GqN!'p"</f>
        <v>#REF!</v>
      </c>
      <c r="FW2" t="e">
        <f>#REF!-"GqN!'q"</f>
        <v>#REF!</v>
      </c>
      <c r="FX2" t="e">
        <f>#REF!-"GqN!'r"</f>
        <v>#REF!</v>
      </c>
      <c r="FY2" t="e">
        <f>#REF!-"GqN!'s"</f>
        <v>#REF!</v>
      </c>
      <c r="FZ2" t="e">
        <f>#REF!-"GqN!'t"</f>
        <v>#REF!</v>
      </c>
      <c r="GA2" t="e">
        <f>#REF!-"GqN!'u"</f>
        <v>#REF!</v>
      </c>
      <c r="GB2" t="e">
        <f>#REF!-"GqN!'v"</f>
        <v>#REF!</v>
      </c>
      <c r="GC2" t="e">
        <f>#REF!-"GqN!'w"</f>
        <v>#REF!</v>
      </c>
      <c r="GD2" t="e">
        <f>#REF!-"GqN!'x"</f>
        <v>#REF!</v>
      </c>
      <c r="GE2" t="e">
        <f>#REF!-"GqN!'y"</f>
        <v>#REF!</v>
      </c>
      <c r="GF2" t="e">
        <f>#REF!-"GqN!'z"</f>
        <v>#REF!</v>
      </c>
      <c r="GG2" t="e">
        <f>#REF!-"GqN!'{"</f>
        <v>#REF!</v>
      </c>
      <c r="GH2" t="e">
        <f>#REF!-"GqN!'|"</f>
        <v>#REF!</v>
      </c>
      <c r="GI2" t="e">
        <f>#REF!-"GqN!'}"</f>
        <v>#REF!</v>
      </c>
      <c r="GJ2" t="e">
        <f>#REF!-"GqN!'~"</f>
        <v>#REF!</v>
      </c>
      <c r="GK2" t="e">
        <f>#REF!-"GqN!(#"</f>
        <v>#REF!</v>
      </c>
      <c r="GL2" t="e">
        <f>#REF!-"GqN!($"</f>
        <v>#REF!</v>
      </c>
      <c r="GM2" t="e">
        <f>#REF!-"GqN!(%"</f>
        <v>#REF!</v>
      </c>
      <c r="GN2" t="e">
        <f>#REF!-"GqN!(&amp;"</f>
        <v>#REF!</v>
      </c>
      <c r="GO2" t="e">
        <f>#REF!-"GqN!('"</f>
        <v>#REF!</v>
      </c>
      <c r="GP2" t="e">
        <f>#REF!-"GqN!(("</f>
        <v>#REF!</v>
      </c>
      <c r="GQ2" t="e">
        <f>#REF!-"GqN!()"</f>
        <v>#REF!</v>
      </c>
      <c r="GR2" t="e">
        <f>#REF!-"GqN!(."</f>
        <v>#REF!</v>
      </c>
      <c r="GS2" t="e">
        <f>#REF!-"GqN!(/"</f>
        <v>#REF!</v>
      </c>
      <c r="GT2" t="e">
        <f>#REF!-"GqN!(0"</f>
        <v>#REF!</v>
      </c>
      <c r="GU2" t="e">
        <f>#REF!-"GqN!(1"</f>
        <v>#REF!</v>
      </c>
      <c r="GV2" t="e">
        <f>#REF!-"GqN!(2"</f>
        <v>#REF!</v>
      </c>
      <c r="GW2" t="e">
        <f>#REF!-"GqN!(3"</f>
        <v>#REF!</v>
      </c>
      <c r="GX2" t="e">
        <f>#REF!-"GqN!(4"</f>
        <v>#REF!</v>
      </c>
      <c r="GY2" t="e">
        <f>#REF!-"GqN!(5"</f>
        <v>#REF!</v>
      </c>
      <c r="GZ2" t="e">
        <f>#REF!-"GqN!(6"</f>
        <v>#REF!</v>
      </c>
      <c r="HA2" t="e">
        <f>#REF!-"GqN!(7"</f>
        <v>#REF!</v>
      </c>
      <c r="HB2" t="e">
        <f>#REF!-"GqN!(8"</f>
        <v>#REF!</v>
      </c>
      <c r="HC2" t="e">
        <f>#REF!-"GqN!(9"</f>
        <v>#REF!</v>
      </c>
      <c r="HD2" t="e">
        <f>#REF!-"GqN!(:"</f>
        <v>#REF!</v>
      </c>
      <c r="HE2" t="e">
        <f>#REF!-"GqN!(;"</f>
        <v>#REF!</v>
      </c>
      <c r="HF2" t="e">
        <f>#REF!-"GqN!(&lt;"</f>
        <v>#REF!</v>
      </c>
      <c r="HG2" t="e">
        <f>#REF!-"GqN!(="</f>
        <v>#REF!</v>
      </c>
      <c r="HH2" t="e">
        <f>#REF!-"GqN!(&gt;"</f>
        <v>#REF!</v>
      </c>
      <c r="HI2" t="e">
        <f>#REF!-"GqN!(?"</f>
        <v>#REF!</v>
      </c>
      <c r="HJ2" t="e">
        <f>#REF!-"GqN!(@"</f>
        <v>#REF!</v>
      </c>
      <c r="HK2" t="e">
        <f>#REF!-"GqN!(A"</f>
        <v>#REF!</v>
      </c>
      <c r="HL2" t="e">
        <f>#REF!-"GqN!(B"</f>
        <v>#REF!</v>
      </c>
      <c r="HM2" t="e">
        <f>#REF!-"GqN!(C"</f>
        <v>#REF!</v>
      </c>
      <c r="HN2" t="e">
        <f>#REF!-"GqN!(D"</f>
        <v>#REF!</v>
      </c>
      <c r="HO2" t="e">
        <f>#REF!-"GqN!(E"</f>
        <v>#REF!</v>
      </c>
      <c r="HP2" t="e">
        <f>#REF!-"GqN!(F"</f>
        <v>#REF!</v>
      </c>
      <c r="HQ2" t="e">
        <f>#REF!-"GqN!(G"</f>
        <v>#REF!</v>
      </c>
      <c r="HR2" t="e">
        <f>#REF!-"GqN!(H"</f>
        <v>#REF!</v>
      </c>
      <c r="HS2" t="e">
        <f>#REF!-"GqN!(I"</f>
        <v>#REF!</v>
      </c>
      <c r="HT2" t="e">
        <f>#REF!-"GqN!(J"</f>
        <v>#REF!</v>
      </c>
      <c r="HU2" t="e">
        <f>#REF!-"GqN!(K"</f>
        <v>#REF!</v>
      </c>
      <c r="HV2" t="e">
        <f>#REF!-"GqN!(L"</f>
        <v>#REF!</v>
      </c>
      <c r="HW2" t="e">
        <f>#REF!-"GqN!(M"</f>
        <v>#REF!</v>
      </c>
      <c r="HX2" t="e">
        <f>#REF!-"GqN!(N"</f>
        <v>#REF!</v>
      </c>
      <c r="HY2" t="e">
        <f>#REF!-"GqN!(O"</f>
        <v>#REF!</v>
      </c>
      <c r="HZ2" t="e">
        <f>#REF!-"GqN!(P"</f>
        <v>#REF!</v>
      </c>
      <c r="IA2" t="e">
        <f>#REF!-"GqN!(Q"</f>
        <v>#REF!</v>
      </c>
      <c r="IB2" t="e">
        <f>#REF!-"GqN!(R"</f>
        <v>#REF!</v>
      </c>
      <c r="IC2" t="e">
        <f>#REF!-"GqN!(S"</f>
        <v>#REF!</v>
      </c>
      <c r="ID2" t="e">
        <f>#REF!-"GqN!(T"</f>
        <v>#REF!</v>
      </c>
      <c r="IE2" t="e">
        <f>#REF!-"GqN!(U"</f>
        <v>#REF!</v>
      </c>
      <c r="IF2" t="e">
        <f>#REF!-"GqN!(V"</f>
        <v>#REF!</v>
      </c>
      <c r="IG2" t="e">
        <f>#REF!-"GqN!(W"</f>
        <v>#REF!</v>
      </c>
      <c r="IH2" t="e">
        <f>#REF!-"GqN!(X"</f>
        <v>#REF!</v>
      </c>
      <c r="II2" t="e">
        <f>#REF!-"GqN!(Y"</f>
        <v>#REF!</v>
      </c>
      <c r="IJ2" t="e">
        <f>#REF!-"GqN!(Z"</f>
        <v>#REF!</v>
      </c>
      <c r="IK2" t="e">
        <f>#REF!-"GqN!(["</f>
        <v>#REF!</v>
      </c>
      <c r="IL2" t="e">
        <f>#REF!-"GqN!(\"</f>
        <v>#REF!</v>
      </c>
      <c r="IM2" t="e">
        <f>#REF!-"GqN!(]"</f>
        <v>#REF!</v>
      </c>
      <c r="IN2" t="e">
        <f>#REF!-"GqN!(^"</f>
        <v>#REF!</v>
      </c>
      <c r="IO2" t="e">
        <f>#REF!-"GqN!(_"</f>
        <v>#REF!</v>
      </c>
      <c r="IP2" t="e">
        <f>#REF!-"GqN!(`"</f>
        <v>#REF!</v>
      </c>
      <c r="IQ2" t="e">
        <f>#REF!-"GqN!(a"</f>
        <v>#REF!</v>
      </c>
      <c r="IR2" t="e">
        <f>#REF!-"GqN!(b"</f>
        <v>#REF!</v>
      </c>
      <c r="IS2" t="e">
        <f>#REF!-"GqN!(c"</f>
        <v>#REF!</v>
      </c>
      <c r="IT2" t="e">
        <f>#REF!-"GqN!(d"</f>
        <v>#REF!</v>
      </c>
      <c r="IU2" t="e">
        <f>#REF!-"GqN!(e"</f>
        <v>#REF!</v>
      </c>
      <c r="IV2" t="e">
        <f>#REF!-"GqN!(f"</f>
        <v>#REF!</v>
      </c>
    </row>
    <row r="3" spans="1:256">
      <c r="A3" t="s">
        <v>81</v>
      </c>
      <c r="F3" t="e">
        <f>#REF!-"GqN!(g"</f>
        <v>#REF!</v>
      </c>
      <c r="G3" t="e">
        <f>#REF!-"GqN!(h"</f>
        <v>#REF!</v>
      </c>
      <c r="H3" t="e">
        <f>#REF!-"GqN!(i"</f>
        <v>#REF!</v>
      </c>
      <c r="I3" t="e">
        <f>#REF!-"GqN!(j"</f>
        <v>#REF!</v>
      </c>
      <c r="J3" t="e">
        <f>#REF!-"GqN!(k"</f>
        <v>#REF!</v>
      </c>
      <c r="K3" t="e">
        <f>#REF!-"GqN!(l"</f>
        <v>#REF!</v>
      </c>
      <c r="L3" t="e">
        <f>#REF!-"GqN!(m"</f>
        <v>#REF!</v>
      </c>
      <c r="M3" t="e">
        <f>#REF!-"GqN!(n"</f>
        <v>#REF!</v>
      </c>
      <c r="N3" t="e">
        <f>#REF!-"GqN!(o"</f>
        <v>#REF!</v>
      </c>
      <c r="O3" t="e">
        <f>#REF!-"GqN!(p"</f>
        <v>#REF!</v>
      </c>
      <c r="P3" t="e">
        <f>#REF!-"GqN!(q"</f>
        <v>#REF!</v>
      </c>
      <c r="Q3" t="e">
        <f>#REF!-"GqN!(r"</f>
        <v>#REF!</v>
      </c>
      <c r="R3" t="e">
        <f>#REF!-"GqN!(s"</f>
        <v>#REF!</v>
      </c>
      <c r="S3" t="e">
        <f>#REF!-"GqN!(t"</f>
        <v>#REF!</v>
      </c>
      <c r="T3" t="e">
        <f>#REF!-"GqN!(u"</f>
        <v>#REF!</v>
      </c>
      <c r="U3" t="e">
        <f>#REF!-"GqN!(v"</f>
        <v>#REF!</v>
      </c>
      <c r="V3" t="e">
        <f>#REF!-"GqN!(w"</f>
        <v>#REF!</v>
      </c>
      <c r="W3" t="e">
        <f>#REF!-"GqN!(x"</f>
        <v>#REF!</v>
      </c>
      <c r="X3" t="e">
        <f>#REF!-"GqN!(y"</f>
        <v>#REF!</v>
      </c>
      <c r="Y3" t="e">
        <f>#REF!-"GqN!(z"</f>
        <v>#REF!</v>
      </c>
      <c r="Z3" t="e">
        <f>#REF!-"GqN!({"</f>
        <v>#REF!</v>
      </c>
      <c r="AA3" t="e">
        <f>#REF!-"GqN!(|"</f>
        <v>#REF!</v>
      </c>
      <c r="AB3" t="e">
        <f>#REF!-"GqN!(}"</f>
        <v>#REF!</v>
      </c>
      <c r="AC3" t="e">
        <f>#REF!-"GqN!(~"</f>
        <v>#REF!</v>
      </c>
      <c r="AD3" t="e">
        <f>#REF!-"GqN!)#"</f>
        <v>#REF!</v>
      </c>
      <c r="AE3" t="e">
        <f>#REF!-"GqN!)$"</f>
        <v>#REF!</v>
      </c>
      <c r="AF3" t="e">
        <f>#REF!-"GqN!)%"</f>
        <v>#REF!</v>
      </c>
      <c r="AG3" t="e">
        <f>#REF!-"GqN!)&amp;"</f>
        <v>#REF!</v>
      </c>
      <c r="AH3" t="e">
        <f>#REF!-"GqN!)'"</f>
        <v>#REF!</v>
      </c>
      <c r="AI3" t="e">
        <f>#REF!-"GqN!)("</f>
        <v>#REF!</v>
      </c>
      <c r="AJ3" t="e">
        <f>#REF!-"GqN!))"</f>
        <v>#REF!</v>
      </c>
      <c r="AK3" t="e">
        <f>#REF!-"GqN!)."</f>
        <v>#REF!</v>
      </c>
      <c r="AL3" t="e">
        <f>#REF!-"GqN!)/"</f>
        <v>#REF!</v>
      </c>
      <c r="AM3" t="e">
        <f>#REF!-"GqN!)0"</f>
        <v>#REF!</v>
      </c>
      <c r="AN3" t="e">
        <f>#REF!-"GqN!)1"</f>
        <v>#REF!</v>
      </c>
      <c r="AO3" t="e">
        <f>#REF!-"GqN!)2"</f>
        <v>#REF!</v>
      </c>
      <c r="AP3" t="e">
        <f>#REF!-"GqN!)3"</f>
        <v>#REF!</v>
      </c>
      <c r="AQ3" t="e">
        <f>#REF!-"GqN!)4"</f>
        <v>#REF!</v>
      </c>
      <c r="AR3" t="e">
        <f>#REF!-"GqN!)5"</f>
        <v>#REF!</v>
      </c>
      <c r="AS3" t="e">
        <f>#REF!-"GqN!)6"</f>
        <v>#REF!</v>
      </c>
      <c r="AT3" t="e">
        <f>#REF!-"GqN!)7"</f>
        <v>#REF!</v>
      </c>
      <c r="AU3" t="e">
        <f>#REF!-"GqN!)8"</f>
        <v>#REF!</v>
      </c>
      <c r="AV3" t="e">
        <f>#REF!-"GqN!)9"</f>
        <v>#REF!</v>
      </c>
      <c r="AW3" t="e">
        <f>#REF!-"GqN!):"</f>
        <v>#REF!</v>
      </c>
      <c r="AX3" t="e">
        <f>#REF!-"GqN!);"</f>
        <v>#REF!</v>
      </c>
      <c r="AY3" t="e">
        <f>#REF!-"GqN!)&lt;"</f>
        <v>#REF!</v>
      </c>
      <c r="AZ3" t="e">
        <f>#REF!-"GqN!)="</f>
        <v>#REF!</v>
      </c>
      <c r="BA3" t="e">
        <f>#REF!-"GqN!)&gt;"</f>
        <v>#REF!</v>
      </c>
      <c r="BB3" t="e">
        <f>#REF!-"GqN!)?"</f>
        <v>#REF!</v>
      </c>
      <c r="BC3" t="e">
        <f>#REF!-"GqN!)@"</f>
        <v>#REF!</v>
      </c>
      <c r="BD3" t="e">
        <f>#REF!-"GqN!)A"</f>
        <v>#REF!</v>
      </c>
      <c r="BE3" t="e">
        <f>#REF!-"GqN!)B"</f>
        <v>#REF!</v>
      </c>
      <c r="BF3" t="e">
        <f>#REF!-"GqN!)C"</f>
        <v>#REF!</v>
      </c>
      <c r="BG3" t="e">
        <f>#REF!-"GqN!)D"</f>
        <v>#REF!</v>
      </c>
      <c r="BH3" t="e">
        <f>#REF!-"GqN!)E"</f>
        <v>#REF!</v>
      </c>
      <c r="BI3" t="e">
        <f>#REF!-"GqN!)F"</f>
        <v>#REF!</v>
      </c>
      <c r="BJ3" t="e">
        <f>#REF!-"GqN!)G"</f>
        <v>#REF!</v>
      </c>
      <c r="BK3" t="e">
        <f>#REF!-"GqN!)H"</f>
        <v>#REF!</v>
      </c>
      <c r="BL3" t="e">
        <f>#REF!-"GqN!)I"</f>
        <v>#REF!</v>
      </c>
      <c r="BM3" t="e">
        <f>#REF!-"GqN!)J"</f>
        <v>#REF!</v>
      </c>
      <c r="BN3" t="e">
        <f>#REF!-"GqN!)K"</f>
        <v>#REF!</v>
      </c>
      <c r="BO3" t="e">
        <f>#REF!-"GqN!)L"</f>
        <v>#REF!</v>
      </c>
      <c r="BP3" t="e">
        <f>#REF!-"GqN!)M"</f>
        <v>#REF!</v>
      </c>
      <c r="BQ3" t="e">
        <f>#REF!-"GqN!)N"</f>
        <v>#REF!</v>
      </c>
      <c r="BR3" t="e">
        <f>#REF!-"GqN!)O"</f>
        <v>#REF!</v>
      </c>
      <c r="BS3" t="e">
        <f>#REF!-"GqN!)P"</f>
        <v>#REF!</v>
      </c>
      <c r="BT3" t="e">
        <f>#REF!-"GqN!)Q"</f>
        <v>#REF!</v>
      </c>
      <c r="BU3" t="e">
        <f>#REF!-"GqN!)R"</f>
        <v>#REF!</v>
      </c>
      <c r="BV3" t="e">
        <f>#REF!-"GqN!)S"</f>
        <v>#REF!</v>
      </c>
      <c r="BW3" t="e">
        <f>#REF!-"GqN!)T"</f>
        <v>#REF!</v>
      </c>
      <c r="BX3" t="e">
        <f>#REF!-"GqN!)U"</f>
        <v>#REF!</v>
      </c>
      <c r="BY3" t="e">
        <f>#REF!-"GqN!)V"</f>
        <v>#REF!</v>
      </c>
      <c r="BZ3" t="e">
        <f>#REF!-"GqN!)W"</f>
        <v>#REF!</v>
      </c>
      <c r="CA3" t="e">
        <f>#REF!-"GqN!)X"</f>
        <v>#REF!</v>
      </c>
      <c r="CB3" t="e">
        <f>#REF!-"GqN!)Y"</f>
        <v>#REF!</v>
      </c>
      <c r="CC3" t="e">
        <f>#REF!-"GqN!)Z"</f>
        <v>#REF!</v>
      </c>
      <c r="CD3" t="e">
        <f>#REF!+"GqN!)["</f>
        <v>#REF!</v>
      </c>
      <c r="CE3" t="e">
        <f>#REF!+"GqN!)\"</f>
        <v>#REF!</v>
      </c>
      <c r="CF3" t="e">
        <f>#REF!+"GqN!)]"</f>
        <v>#REF!</v>
      </c>
      <c r="CG3" t="e">
        <f>#REF!+"GqN!)^"</f>
        <v>#REF!</v>
      </c>
      <c r="CH3" t="e">
        <f>#REF!+"GqN!)_"</f>
        <v>#REF!</v>
      </c>
      <c r="CI3" t="e">
        <f>#REF!+"GqN!)`"</f>
        <v>#REF!</v>
      </c>
      <c r="CJ3" t="e">
        <f>#REF!+"GqN!)a"</f>
        <v>#REF!</v>
      </c>
      <c r="CK3" t="e">
        <f>#REF!+"GqN!)b"</f>
        <v>#REF!</v>
      </c>
      <c r="CL3" t="e">
        <f>#REF!+"GqN!)c"</f>
        <v>#REF!</v>
      </c>
      <c r="CM3" t="e">
        <f>#REF!+"GqN!)d"</f>
        <v>#REF!</v>
      </c>
      <c r="CN3" t="e">
        <f>#REF!+"GqN!)e"</f>
        <v>#REF!</v>
      </c>
      <c r="CO3" t="e">
        <f>#REF!+"GqN!)f"</f>
        <v>#REF!</v>
      </c>
      <c r="CP3" t="e">
        <f>#REF!+"GqN!)g"</f>
        <v>#REF!</v>
      </c>
      <c r="CQ3" t="e">
        <f>#REF!+"GqN!)h"</f>
        <v>#REF!</v>
      </c>
      <c r="CR3" t="e">
        <f>#REF!+"GqN!)i"</f>
        <v>#REF!</v>
      </c>
      <c r="CS3" t="e">
        <f>#REF!+"GqN!)j"</f>
        <v>#REF!</v>
      </c>
      <c r="CT3" t="e">
        <f>#REF!+"GqN!)k"</f>
        <v>#REF!</v>
      </c>
      <c r="CU3" t="e">
        <f>#REF!+"GqN!)l"</f>
        <v>#REF!</v>
      </c>
      <c r="CV3" t="e">
        <f>#REF!+"GqN!)m"</f>
        <v>#REF!</v>
      </c>
      <c r="CW3" t="e">
        <f>#REF!+"GqN!)n"</f>
        <v>#REF!</v>
      </c>
      <c r="CX3" t="e">
        <f>#REF!+"GqN!)o"</f>
        <v>#REF!</v>
      </c>
      <c r="CY3" t="e">
        <f>#REF!+"GqN!)p"</f>
        <v>#REF!</v>
      </c>
      <c r="CZ3" t="e">
        <f>#REF!+"GqN!)q"</f>
        <v>#REF!</v>
      </c>
      <c r="DA3" t="e">
        <f>#REF!+"GqN!)r"</f>
        <v>#REF!</v>
      </c>
      <c r="DB3" t="e">
        <f>#REF!+"GqN!)s"</f>
        <v>#REF!</v>
      </c>
      <c r="DC3" t="e">
        <f>#REF!+"GqN!)t"</f>
        <v>#REF!</v>
      </c>
      <c r="DD3" t="e">
        <f>#REF!+"GqN!)u"</f>
        <v>#REF!</v>
      </c>
      <c r="DE3" t="e">
        <f>#REF!+"GqN!)v"</f>
        <v>#REF!</v>
      </c>
      <c r="DF3" t="e">
        <f>#REF!+"GqN!)w"</f>
        <v>#REF!</v>
      </c>
      <c r="DG3" t="e">
        <f>#REF!+"GqN!)x"</f>
        <v>#REF!</v>
      </c>
      <c r="DH3" t="e">
        <f>#REF!+"GqN!)y"</f>
        <v>#REF!</v>
      </c>
      <c r="DI3" t="e">
        <f>#REF!+"GqN!)z"</f>
        <v>#REF!</v>
      </c>
      <c r="DJ3" t="e">
        <f>#REF!+"GqN!){"</f>
        <v>#REF!</v>
      </c>
      <c r="DK3" t="e">
        <f>#REF!+"GqN!)|"</f>
        <v>#REF!</v>
      </c>
      <c r="DL3" t="e">
        <f>#REF!+"GqN!)}"</f>
        <v>#REF!</v>
      </c>
      <c r="DM3" t="e">
        <f>#REF!+"GqN!)~"</f>
        <v>#REF!</v>
      </c>
      <c r="DN3" t="e">
        <f>#REF!+"GqN!.#"</f>
        <v>#REF!</v>
      </c>
      <c r="DO3" t="e">
        <f>#REF!+"GqN!.$"</f>
        <v>#REF!</v>
      </c>
      <c r="DP3" t="e">
        <f>#REF!+"GqN!.%"</f>
        <v>#REF!</v>
      </c>
      <c r="DQ3" t="e">
        <f>#REF!+"GqN!.&amp;"</f>
        <v>#REF!</v>
      </c>
      <c r="DR3" t="e">
        <f>#REF!+"GqN!.'"</f>
        <v>#REF!</v>
      </c>
      <c r="DS3" t="e">
        <f>#REF!+"GqN!.("</f>
        <v>#REF!</v>
      </c>
      <c r="DT3" t="e">
        <f>#REF!+"GqN!.)"</f>
        <v>#REF!</v>
      </c>
      <c r="DU3" t="e">
        <f>#REF!+"GqN!.."</f>
        <v>#REF!</v>
      </c>
      <c r="DV3" t="e">
        <f>#REF!+"GqN!./"</f>
        <v>#REF!</v>
      </c>
      <c r="DW3" t="e">
        <f>#REF!+"GqN!.0"</f>
        <v>#REF!</v>
      </c>
      <c r="DX3" t="e">
        <f>#REF!+"GqN!.1"</f>
        <v>#REF!</v>
      </c>
      <c r="DY3" t="e">
        <f>#REF!+"GqN!.2"</f>
        <v>#REF!</v>
      </c>
      <c r="DZ3" t="e">
        <f>#REF!+"GqN!.3"</f>
        <v>#REF!</v>
      </c>
      <c r="EA3" t="e">
        <f>#REF!+"GqN!.4"</f>
        <v>#REF!</v>
      </c>
      <c r="EB3" t="e">
        <f>#REF!+"GqN!.5"</f>
        <v>#REF!</v>
      </c>
      <c r="EC3" t="e">
        <f>#REF!+"GqN!.6"</f>
        <v>#REF!</v>
      </c>
      <c r="ED3" t="e">
        <f>#REF!+"GqN!.7"</f>
        <v>#REF!</v>
      </c>
      <c r="EE3" t="e">
        <f>#REF!+"GqN!.8"</f>
        <v>#REF!</v>
      </c>
      <c r="EF3" t="e">
        <f>#REF!+"GqN!.9"</f>
        <v>#REF!</v>
      </c>
      <c r="EG3" t="e">
        <f>#REF!+"GqN!.:"</f>
        <v>#REF!</v>
      </c>
      <c r="EH3" t="e">
        <f>#REF!+"GqN!.;"</f>
        <v>#REF!</v>
      </c>
      <c r="EI3" t="e">
        <f>#REF!+"GqN!.&lt;"</f>
        <v>#REF!</v>
      </c>
      <c r="EJ3" t="e">
        <f>#REF!+"GqN!.="</f>
        <v>#REF!</v>
      </c>
      <c r="EK3" t="e">
        <f>#REF!+"GqN!.&gt;"</f>
        <v>#REF!</v>
      </c>
      <c r="EL3" t="e">
        <f>#REF!+"GqN!.?"</f>
        <v>#REF!</v>
      </c>
      <c r="EM3" t="e">
        <f>#REF!+"GqN!.@"</f>
        <v>#REF!</v>
      </c>
      <c r="EN3" t="e">
        <f>#REF!+"GqN!.A"</f>
        <v>#REF!</v>
      </c>
      <c r="EO3" t="e">
        <f>#REF!+"GqN!.B"</f>
        <v>#REF!</v>
      </c>
      <c r="EP3" t="e">
        <f>#REF!+"GqN!.C"</f>
        <v>#REF!</v>
      </c>
      <c r="EQ3" t="e">
        <f>#REF!+"GqN!.D"</f>
        <v>#REF!</v>
      </c>
      <c r="ER3" t="e">
        <f>#REF!+"GqN!.E"</f>
        <v>#REF!</v>
      </c>
      <c r="ES3" t="e">
        <f>#REF!+"GqN!.F"</f>
        <v>#REF!</v>
      </c>
      <c r="ET3" t="e">
        <f>#REF!+"GqN!.G"</f>
        <v>#REF!</v>
      </c>
      <c r="EU3" t="e">
        <f>#REF!+"GqN!.H"</f>
        <v>#REF!</v>
      </c>
      <c r="EV3" t="e">
        <f>#REF!+"GqN!.I"</f>
        <v>#REF!</v>
      </c>
      <c r="EW3" t="e">
        <f>#REF!+"GqN!.J"</f>
        <v>#REF!</v>
      </c>
      <c r="EX3" t="e">
        <f>#REF!+"GqN!.K"</f>
        <v>#REF!</v>
      </c>
      <c r="EY3" t="e">
        <f>#REF!+"GqN!.L"</f>
        <v>#REF!</v>
      </c>
      <c r="EZ3" t="e">
        <f>#REF!+"GqN!.M"</f>
        <v>#REF!</v>
      </c>
      <c r="FA3" t="e">
        <f>#REF!+"GqN!.N"</f>
        <v>#REF!</v>
      </c>
      <c r="FB3" t="e">
        <f>#REF!+"GqN!.O"</f>
        <v>#REF!</v>
      </c>
      <c r="FC3" t="e">
        <f>#REF!+"GqN!.P"</f>
        <v>#REF!</v>
      </c>
      <c r="FD3" t="e">
        <f>#REF!+"GqN!.Q"</f>
        <v>#REF!</v>
      </c>
      <c r="FE3" t="e">
        <f>#REF!+"GqN!.R"</f>
        <v>#REF!</v>
      </c>
      <c r="FF3" t="e">
        <f>#REF!+"GqN!.S"</f>
        <v>#REF!</v>
      </c>
      <c r="FG3" t="e">
        <f>#REF!+"GqN!.T"</f>
        <v>#REF!</v>
      </c>
      <c r="FH3" t="e">
        <f>#REF!+"GqN!.U"</f>
        <v>#REF!</v>
      </c>
      <c r="FI3" t="e">
        <f>#REF!+"GqN!.V"</f>
        <v>#REF!</v>
      </c>
      <c r="FJ3" t="e">
        <f>#REF!+"GqN!.W"</f>
        <v>#REF!</v>
      </c>
      <c r="FK3" t="e">
        <f>#REF!+"GqN!.X"</f>
        <v>#REF!</v>
      </c>
      <c r="FL3" t="e">
        <f>#REF!+"GqN!.Y"</f>
        <v>#REF!</v>
      </c>
      <c r="FM3" t="e">
        <f>#REF!+"GqN!.Z"</f>
        <v>#REF!</v>
      </c>
      <c r="FN3" t="e">
        <f>#REF!+"GqN!.["</f>
        <v>#REF!</v>
      </c>
      <c r="FO3" t="e">
        <f>#REF!+"GqN!.\"</f>
        <v>#REF!</v>
      </c>
      <c r="FP3" t="e">
        <f>#REF!+"GqN!.]"</f>
        <v>#REF!</v>
      </c>
      <c r="FQ3" t="e">
        <f>#REF!+"GqN!.^"</f>
        <v>#REF!</v>
      </c>
      <c r="FR3" t="e">
        <f>#REF!+"GqN!._"</f>
        <v>#REF!</v>
      </c>
      <c r="FS3" t="e">
        <f>#REF!+"GqN!.`"</f>
        <v>#REF!</v>
      </c>
      <c r="FT3" t="e">
        <f>#REF!+"GqN!.a"</f>
        <v>#REF!</v>
      </c>
      <c r="FU3" t="e">
        <f>#REF!+"GqN!.b"</f>
        <v>#REF!</v>
      </c>
      <c r="FV3" t="e">
        <f>#REF!+"GqN!.c"</f>
        <v>#REF!</v>
      </c>
      <c r="FW3" t="e">
        <f>#REF!*"GqN!.d"</f>
        <v>#REF!</v>
      </c>
      <c r="FX3" t="e">
        <f>#REF!*"GqN!.e"</f>
        <v>#REF!</v>
      </c>
      <c r="FY3" t="e">
        <f>#REF!*"GqN!.f"</f>
        <v>#REF!</v>
      </c>
      <c r="FZ3" t="e">
        <f>#REF!*"GqN!.g"</f>
        <v>#REF!</v>
      </c>
      <c r="GA3" t="e">
        <f>#REF!*"GqN!.h"</f>
        <v>#REF!</v>
      </c>
      <c r="GB3" t="e">
        <f>#REF!*"GqN!.i"</f>
        <v>#REF!</v>
      </c>
      <c r="GC3" t="e">
        <f>#REF!*"GqN!.j"</f>
        <v>#REF!</v>
      </c>
      <c r="GD3" t="e">
        <f>#REF!*"GqN!.k"</f>
        <v>#REF!</v>
      </c>
      <c r="GE3" t="e">
        <f>#REF!*"GqN!.l"</f>
        <v>#REF!</v>
      </c>
      <c r="GF3" t="e">
        <f>#REF!*"GqN!.m"</f>
        <v>#REF!</v>
      </c>
      <c r="GG3" t="e">
        <f>#REF!*"GqN!.n"</f>
        <v>#REF!</v>
      </c>
      <c r="GH3" t="e">
        <f>#REF!*"GqN!.o"</f>
        <v>#REF!</v>
      </c>
      <c r="GI3" t="e">
        <f>#REF!*"GqN!.p"</f>
        <v>#REF!</v>
      </c>
      <c r="GJ3" t="e">
        <f>#REF!*"GqN!.q"</f>
        <v>#REF!</v>
      </c>
      <c r="GK3" t="e">
        <f>#REF!*"GqN!.r"</f>
        <v>#REF!</v>
      </c>
      <c r="GL3" t="e">
        <f>#REF!*"GqN!.s"</f>
        <v>#REF!</v>
      </c>
      <c r="GM3" t="e">
        <f>#REF!*"GqN!.t"</f>
        <v>#REF!</v>
      </c>
      <c r="GN3" t="e">
        <f>#REF!*"GqN!.u"</f>
        <v>#REF!</v>
      </c>
      <c r="GO3" t="e">
        <f>#REF!*"GqN!.v"</f>
        <v>#REF!</v>
      </c>
      <c r="GP3" t="e">
        <f>#REF!*"GqN!.w"</f>
        <v>#REF!</v>
      </c>
      <c r="GQ3" t="e">
        <f>#REF!*"GqN!.x"</f>
        <v>#REF!</v>
      </c>
      <c r="GR3" t="e">
        <f>#REF!*"GqN!.y"</f>
        <v>#REF!</v>
      </c>
      <c r="GS3" t="e">
        <f>#REF!*"GqN!.z"</f>
        <v>#REF!</v>
      </c>
      <c r="GT3" t="e">
        <f>#REF!*"GqN!.{"</f>
        <v>#REF!</v>
      </c>
      <c r="GU3" t="e">
        <f>#REF!*"GqN!.|"</f>
        <v>#REF!</v>
      </c>
      <c r="GV3" t="e">
        <f>#REF!*"GqN!.}"</f>
        <v>#REF!</v>
      </c>
      <c r="GW3" t="e">
        <f>#REF!*"GqN!.~"</f>
        <v>#REF!</v>
      </c>
      <c r="GX3" t="e">
        <f>#REF!*"GqN!/#"</f>
        <v>#REF!</v>
      </c>
      <c r="GY3" t="e">
        <f>#REF!*"GqN!/$"</f>
        <v>#REF!</v>
      </c>
      <c r="GZ3" t="e">
        <f>#REF!*"GqN!/%"</f>
        <v>#REF!</v>
      </c>
      <c r="HA3" t="e">
        <f>#REF!*"GqN!/&amp;"</f>
        <v>#REF!</v>
      </c>
      <c r="HB3" t="e">
        <f>#REF!*"GqN!/'"</f>
        <v>#REF!</v>
      </c>
      <c r="HC3" t="e">
        <f>#REF!*"GqN!/("</f>
        <v>#REF!</v>
      </c>
      <c r="HD3" t="e">
        <f>#REF!*"GqN!/)"</f>
        <v>#REF!</v>
      </c>
      <c r="HE3" t="e">
        <f>#REF!*"GqN!/."</f>
        <v>#REF!</v>
      </c>
      <c r="HF3" t="e">
        <f>#REF!*"GqN!//"</f>
        <v>#REF!</v>
      </c>
      <c r="HG3" t="e">
        <f>#REF!*"GqN!/0"</f>
        <v>#REF!</v>
      </c>
      <c r="HH3" t="e">
        <f>#REF!*"GqN!/1"</f>
        <v>#REF!</v>
      </c>
      <c r="HI3" t="e">
        <f>#REF!*"GqN!/2"</f>
        <v>#REF!</v>
      </c>
      <c r="HJ3" t="e">
        <f>#REF!*"GqN!/3"</f>
        <v>#REF!</v>
      </c>
      <c r="HK3" t="e">
        <f>#REF!*"GqN!/4"</f>
        <v>#REF!</v>
      </c>
      <c r="HL3" t="e">
        <f>#REF!*"GqN!/5"</f>
        <v>#REF!</v>
      </c>
      <c r="HM3" t="e">
        <f>#REF!*"GqN!/6"</f>
        <v>#REF!</v>
      </c>
      <c r="HN3" t="e">
        <f>#REF!*"GqN!/7"</f>
        <v>#REF!</v>
      </c>
      <c r="HO3" t="e">
        <f>#REF!*"GqN!/8"</f>
        <v>#REF!</v>
      </c>
      <c r="HP3" t="e">
        <f>#REF!*"GqN!/9"</f>
        <v>#REF!</v>
      </c>
      <c r="HQ3" t="e">
        <f>#REF!*"GqN!/:"</f>
        <v>#REF!</v>
      </c>
      <c r="HR3" t="e">
        <f>#REF!*"GqN!/;"</f>
        <v>#REF!</v>
      </c>
      <c r="HS3" t="e">
        <f>#REF!*"GqN!/&lt;"</f>
        <v>#REF!</v>
      </c>
      <c r="HT3" t="e">
        <f>#REF!*"GqN!/="</f>
        <v>#REF!</v>
      </c>
      <c r="HU3" t="e">
        <f>#REF!*"GqN!/&gt;"</f>
        <v>#REF!</v>
      </c>
      <c r="HV3" t="e">
        <f>#REF!*"GqN!/?"</f>
        <v>#REF!</v>
      </c>
      <c r="HW3" t="e">
        <f>#REF!*"GqN!/@"</f>
        <v>#REF!</v>
      </c>
      <c r="HX3" t="e">
        <f>#REF!*"GqN!/A"</f>
        <v>#REF!</v>
      </c>
      <c r="HY3" t="e">
        <f>#REF!*"GqN!/B"</f>
        <v>#REF!</v>
      </c>
      <c r="HZ3" t="e">
        <f>#REF!*"GqN!/C"</f>
        <v>#REF!</v>
      </c>
      <c r="IA3" t="e">
        <f>#REF!*"GqN!/D"</f>
        <v>#REF!</v>
      </c>
      <c r="IB3" t="e">
        <f>#REF!*"GqN!/E"</f>
        <v>#REF!</v>
      </c>
      <c r="IC3" t="e">
        <f>#REF!-"GqN!/F"</f>
        <v>#REF!</v>
      </c>
      <c r="ID3" t="e">
        <f>#REF!-"GqN!/G"</f>
        <v>#REF!</v>
      </c>
      <c r="IE3" t="e">
        <f>#REF!-"GqN!/H"</f>
        <v>#REF!</v>
      </c>
      <c r="IF3" t="e">
        <f>#REF!-"GqN!/I"</f>
        <v>#REF!</v>
      </c>
      <c r="IG3" t="e">
        <f>#REF!-"GqN!/J"</f>
        <v>#REF!</v>
      </c>
      <c r="IH3" t="e">
        <f>#REF!-"GqN!/K"</f>
        <v>#REF!</v>
      </c>
      <c r="II3" t="e">
        <f>#REF!-"GqN!/L"</f>
        <v>#REF!</v>
      </c>
      <c r="IJ3" t="e">
        <f>#REF!-"GqN!/M"</f>
        <v>#REF!</v>
      </c>
      <c r="IK3" t="e">
        <f>#REF!-"GqN!/N"</f>
        <v>#REF!</v>
      </c>
      <c r="IL3" t="e">
        <f>#REF!-"GqN!/O"</f>
        <v>#REF!</v>
      </c>
      <c r="IM3" t="e">
        <f>#REF!-"GqN!/P"</f>
        <v>#REF!</v>
      </c>
      <c r="IN3" t="e">
        <f>#REF!-"GqN!/Q"</f>
        <v>#REF!</v>
      </c>
      <c r="IO3" t="e">
        <f>#REF!-"GqN!/R"</f>
        <v>#REF!</v>
      </c>
      <c r="IP3" t="e">
        <f>#REF!-"GqN!/S"</f>
        <v>#REF!</v>
      </c>
      <c r="IQ3" t="e">
        <f>#REF!-"GqN!/T"</f>
        <v>#REF!</v>
      </c>
      <c r="IR3" t="e">
        <f>#REF!-"GqN!/U"</f>
        <v>#REF!</v>
      </c>
      <c r="IS3" t="e">
        <f>#REF!-"GqN!/V"</f>
        <v>#REF!</v>
      </c>
      <c r="IT3" t="e">
        <f>#REF!-"GqN!/W"</f>
        <v>#REF!</v>
      </c>
      <c r="IU3" t="e">
        <f>#REF!-"GqN!/X"</f>
        <v>#REF!</v>
      </c>
      <c r="IV3" t="e">
        <f>#REF!-"GqN!/Y"</f>
        <v>#REF!</v>
      </c>
    </row>
    <row r="4" spans="1:256">
      <c r="A4" t="s">
        <v>86</v>
      </c>
      <c r="F4" t="e">
        <f>#REF!-"GqN!/Z"</f>
        <v>#REF!</v>
      </c>
      <c r="G4" t="e">
        <f>#REF!-"GqN!/["</f>
        <v>#REF!</v>
      </c>
      <c r="H4" t="e">
        <f>#REF!-"GqN!/\"</f>
        <v>#REF!</v>
      </c>
      <c r="I4" t="e">
        <f>#REF!-"GqN!/]"</f>
        <v>#REF!</v>
      </c>
      <c r="J4" t="e">
        <f>#REF!-"GqN!/^"</f>
        <v>#REF!</v>
      </c>
      <c r="K4" t="e">
        <f>#REF!-"GqN!/_"</f>
        <v>#REF!</v>
      </c>
      <c r="L4" t="e">
        <f>#REF!-"GqN!/`"</f>
        <v>#REF!</v>
      </c>
      <c r="M4" t="e">
        <f>#REF!-"GqN!/a"</f>
        <v>#REF!</v>
      </c>
      <c r="N4" t="e">
        <f>#REF!-"GqN!/b"</f>
        <v>#REF!</v>
      </c>
      <c r="O4" t="e">
        <f>#REF!-"GqN!/c"</f>
        <v>#REF!</v>
      </c>
      <c r="P4" t="e">
        <f>#REF!-"GqN!/d"</f>
        <v>#REF!</v>
      </c>
      <c r="Q4" t="e">
        <f>#REF!-"GqN!/e"</f>
        <v>#REF!</v>
      </c>
      <c r="R4" t="e">
        <f>#REF!-"GqN!/f"</f>
        <v>#REF!</v>
      </c>
      <c r="S4" t="e">
        <f>#REF!-"GqN!/g"</f>
        <v>#REF!</v>
      </c>
      <c r="T4" t="e">
        <f>#REF!-"GqN!/h"</f>
        <v>#REF!</v>
      </c>
      <c r="U4" t="e">
        <f>#REF!-"GqN!/i"</f>
        <v>#REF!</v>
      </c>
      <c r="V4" t="e">
        <f>#REF!-"GqN!/j"</f>
        <v>#REF!</v>
      </c>
      <c r="W4" t="e">
        <f>#REF!-"GqN!/k"</f>
        <v>#REF!</v>
      </c>
      <c r="X4" t="e">
        <f>#REF!-"GqN!/l"</f>
        <v>#REF!</v>
      </c>
      <c r="Y4" t="e">
        <f>#REF!-"GqN!/m"</f>
        <v>#REF!</v>
      </c>
      <c r="Z4" t="e">
        <f>#REF!-"GqN!/n"</f>
        <v>#REF!</v>
      </c>
      <c r="AA4" t="e">
        <f>#REF!-"GqN!/o"</f>
        <v>#REF!</v>
      </c>
      <c r="AB4" t="e">
        <f>#REF!-"GqN!/p"</f>
        <v>#REF!</v>
      </c>
      <c r="AC4" t="e">
        <f>#REF!-"GqN!/q"</f>
        <v>#REF!</v>
      </c>
      <c r="AD4" t="e">
        <f>#REF!-"GqN!/r"</f>
        <v>#REF!</v>
      </c>
      <c r="AE4" t="e">
        <f>#REF!-"GqN!/s"</f>
        <v>#REF!</v>
      </c>
      <c r="AF4" t="e">
        <f>#REF!-"GqN!/t"</f>
        <v>#REF!</v>
      </c>
      <c r="AG4" t="e">
        <f>#REF!-"GqN!/u"</f>
        <v>#REF!</v>
      </c>
      <c r="AH4" t="e">
        <f>#REF!-"GqN!/v"</f>
        <v>#REF!</v>
      </c>
      <c r="AI4" t="e">
        <f>#REF!-"GqN!/w"</f>
        <v>#REF!</v>
      </c>
      <c r="AJ4" t="e">
        <f>#REF!-"GqN!/x"</f>
        <v>#REF!</v>
      </c>
      <c r="AK4" t="e">
        <f>#REF!-"GqN!/y"</f>
        <v>#REF!</v>
      </c>
      <c r="AL4" t="e">
        <f>#REF!-"GqN!/z"</f>
        <v>#REF!</v>
      </c>
      <c r="AM4" t="e">
        <f>#REF!-"GqN!/{"</f>
        <v>#REF!</v>
      </c>
      <c r="AN4" t="e">
        <f>#REF!-"GqN!/|"</f>
        <v>#REF!</v>
      </c>
      <c r="AO4" t="e">
        <f>#REF!-"GqN!/}"</f>
        <v>#REF!</v>
      </c>
      <c r="AP4" t="e">
        <f>#REF!-"GqN!/~"</f>
        <v>#REF!</v>
      </c>
      <c r="AQ4" t="e">
        <f>#REF!-"GqN!0#"</f>
        <v>#REF!</v>
      </c>
      <c r="AR4" t="e">
        <f>#REF!-"GqN!0$"</f>
        <v>#REF!</v>
      </c>
      <c r="AS4" t="e">
        <f>#REF!-"GqN!0%"</f>
        <v>#REF!</v>
      </c>
      <c r="AT4" t="e">
        <f>#REF!-"GqN!0&amp;"</f>
        <v>#REF!</v>
      </c>
      <c r="AU4" t="e">
        <f>#REF!-"GqN!0'"</f>
        <v>#REF!</v>
      </c>
      <c r="AV4" t="e">
        <f>#REF!-"GqN!0("</f>
        <v>#REF!</v>
      </c>
      <c r="AW4" t="e">
        <f>#REF!-"GqN!0)"</f>
        <v>#REF!</v>
      </c>
      <c r="AX4" t="e">
        <f>#REF!-"GqN!0."</f>
        <v>#REF!</v>
      </c>
      <c r="AY4" t="e">
        <f>#REF!-"GqN!0/"</f>
        <v>#REF!</v>
      </c>
      <c r="AZ4" t="e">
        <f>#REF!-"GqN!00"</f>
        <v>#REF!</v>
      </c>
      <c r="BA4" t="e">
        <f>#REF!-"GqN!01"</f>
        <v>#REF!</v>
      </c>
      <c r="BB4" t="e">
        <f>#REF!-"GqN!02"</f>
        <v>#REF!</v>
      </c>
      <c r="BC4" t="e">
        <f>#REF!-"GqN!03"</f>
        <v>#REF!</v>
      </c>
      <c r="BD4" t="e">
        <f>#REF!-"GqN!04"</f>
        <v>#REF!</v>
      </c>
      <c r="BE4" t="e">
        <f>#REF!-"GqN!05"</f>
        <v>#REF!</v>
      </c>
      <c r="BF4" t="e">
        <f>#REF!-"GqN!06"</f>
        <v>#REF!</v>
      </c>
      <c r="BG4" t="e">
        <f>#REF!-"GqN!07"</f>
        <v>#REF!</v>
      </c>
      <c r="BH4" t="e">
        <f>#REF!-"GqN!08"</f>
        <v>#REF!</v>
      </c>
      <c r="BI4" t="e">
        <f>#REF!-"GqN!09"</f>
        <v>#REF!</v>
      </c>
      <c r="BJ4" t="e">
        <f>#REF!-"GqN!0:"</f>
        <v>#REF!</v>
      </c>
      <c r="BK4" t="e">
        <f>#REF!-"GqN!0;"</f>
        <v>#REF!</v>
      </c>
      <c r="BL4" t="e">
        <f>#REF!-"GqN!0&lt;"</f>
        <v>#REF!</v>
      </c>
      <c r="BM4" t="e">
        <f>#REF!-"GqN!0="</f>
        <v>#REF!</v>
      </c>
      <c r="BN4" t="e">
        <f>#REF!-"GqN!0&gt;"</f>
        <v>#REF!</v>
      </c>
      <c r="BO4" t="e">
        <f>#REF!-"GqN!0?"</f>
        <v>#REF!</v>
      </c>
      <c r="BP4" t="e">
        <f>#REF!-"GqN!0@"</f>
        <v>#REF!</v>
      </c>
      <c r="BQ4" t="e">
        <f>#REF!-"GqN!0A"</f>
        <v>#REF!</v>
      </c>
      <c r="BR4" t="e">
        <f>#REF!-"GqN!0B"</f>
        <v>#REF!</v>
      </c>
      <c r="BS4" t="e">
        <f>#REF!-"GqN!0C"</f>
        <v>#REF!</v>
      </c>
      <c r="BT4" t="e">
        <f>#REF!-"GqN!0D"</f>
        <v>#REF!</v>
      </c>
      <c r="BU4" t="e">
        <f>#REF!-"GqN!0E"</f>
        <v>#REF!</v>
      </c>
      <c r="BV4" t="e">
        <f>#REF!-"GqN!0F"</f>
        <v>#REF!</v>
      </c>
      <c r="BW4" t="e">
        <f>#REF!-"GqN!0G"</f>
        <v>#REF!</v>
      </c>
      <c r="BX4" t="e">
        <f>#REF!-"GqN!0H"</f>
        <v>#REF!</v>
      </c>
      <c r="BY4" t="e">
        <f>#REF!-"GqN!0I"</f>
        <v>#REF!</v>
      </c>
      <c r="BZ4" t="e">
        <f>#REF!-"GqN!0J"</f>
        <v>#REF!</v>
      </c>
      <c r="CA4" t="e">
        <f>#REF!-"GqN!0K"</f>
        <v>#REF!</v>
      </c>
      <c r="CB4" t="e">
        <f>#REF!-"GqN!0L"</f>
        <v>#REF!</v>
      </c>
      <c r="CC4" t="e">
        <f>#REF!-"GqN!0M"</f>
        <v>#REF!</v>
      </c>
      <c r="CD4" t="e">
        <f>#REF!-"GqN!0N"</f>
        <v>#REF!</v>
      </c>
      <c r="CE4" t="e">
        <f>#REF!-"GqN!0O"</f>
        <v>#REF!</v>
      </c>
      <c r="CF4" t="e">
        <f>#REF!-"GqN!0P"</f>
        <v>#REF!</v>
      </c>
      <c r="CG4" t="e">
        <f>#REF!-"GqN!0Q"</f>
        <v>#REF!</v>
      </c>
      <c r="CH4" t="e">
        <f>#REF!-"GqN!0R"</f>
        <v>#REF!</v>
      </c>
      <c r="CI4" t="e">
        <f>#REF!-"GqN!0S"</f>
        <v>#REF!</v>
      </c>
      <c r="CJ4" t="e">
        <f>#REF!-"GqN!0T"</f>
        <v>#REF!</v>
      </c>
      <c r="CK4" t="e">
        <f>#REF!-"GqN!0U"</f>
        <v>#REF!</v>
      </c>
      <c r="CL4" t="e">
        <f>#REF!-"GqN!0V"</f>
        <v>#REF!</v>
      </c>
      <c r="CM4" t="e">
        <f>#REF!-"GqN!0W"</f>
        <v>#REF!</v>
      </c>
      <c r="CN4" t="e">
        <f>#REF!-"GqN!0X"</f>
        <v>#REF!</v>
      </c>
      <c r="CO4" t="e">
        <f>#REF!-"GqN!0Y"</f>
        <v>#REF!</v>
      </c>
      <c r="CP4" t="e">
        <f>#REF!-"GqN!0Z"</f>
        <v>#REF!</v>
      </c>
      <c r="CQ4" t="e">
        <f>#REF!-"GqN!0["</f>
        <v>#REF!</v>
      </c>
      <c r="CR4" t="e">
        <f>#REF!-"GqN!0\"</f>
        <v>#REF!</v>
      </c>
      <c r="CS4" t="e">
        <f>#REF!-"GqN!0]"</f>
        <v>#REF!</v>
      </c>
      <c r="CT4" t="e">
        <f>#REF!-"GqN!0^"</f>
        <v>#REF!</v>
      </c>
      <c r="CU4" t="e">
        <f>#REF!-"GqN!0_"</f>
        <v>#REF!</v>
      </c>
      <c r="CV4" t="e">
        <f>#REF!-"GqN!0`"</f>
        <v>#REF!</v>
      </c>
      <c r="CW4" t="e">
        <f>#REF!-"GqN!0a"</f>
        <v>#REF!</v>
      </c>
      <c r="CX4" t="e">
        <f>#REF!-"GqN!0b"</f>
        <v>#REF!</v>
      </c>
      <c r="CY4" t="e">
        <f>#REF!-"GqN!0c"</f>
        <v>#REF!</v>
      </c>
      <c r="CZ4" t="e">
        <f>#REF!-"GqN!0d"</f>
        <v>#REF!</v>
      </c>
      <c r="DA4" t="e">
        <f>#REF!-"GqN!0e"</f>
        <v>#REF!</v>
      </c>
      <c r="DB4" t="e">
        <f>#REF!-"GqN!0f"</f>
        <v>#REF!</v>
      </c>
      <c r="DC4" t="e">
        <f>#REF!-"GqN!0g"</f>
        <v>#REF!</v>
      </c>
      <c r="DD4" t="e">
        <f>#REF!-"GqN!0h"</f>
        <v>#REF!</v>
      </c>
      <c r="DE4" t="e">
        <f>#REF!-"GqN!0i"</f>
        <v>#REF!</v>
      </c>
      <c r="DF4" t="e">
        <f>#REF!-"GqN!0j"</f>
        <v>#REF!</v>
      </c>
      <c r="DG4" t="e">
        <f>#REF!-"GqN!0k"</f>
        <v>#REF!</v>
      </c>
      <c r="DH4" t="e">
        <f>#REF!-"GqN!0l"</f>
        <v>#REF!</v>
      </c>
      <c r="DI4" t="e">
        <f>#REF!-"GqN!0m"</f>
        <v>#REF!</v>
      </c>
      <c r="DJ4" t="e">
        <f>#REF!-"GqN!0n"</f>
        <v>#REF!</v>
      </c>
      <c r="DK4" t="e">
        <f>#REF!-"GqN!0o"</f>
        <v>#REF!</v>
      </c>
      <c r="DL4" t="e">
        <f>#REF!-"GqN!0p"</f>
        <v>#REF!</v>
      </c>
      <c r="DM4" t="e">
        <f>#REF!-"GqN!0q"</f>
        <v>#REF!</v>
      </c>
      <c r="DN4" t="e">
        <f>#REF!-"GqN!0r"</f>
        <v>#REF!</v>
      </c>
      <c r="DO4" t="e">
        <f>#REF!-"GqN!0s"</f>
        <v>#REF!</v>
      </c>
      <c r="DP4" t="e">
        <f>#REF!-"GqN!0t"</f>
        <v>#REF!</v>
      </c>
      <c r="DQ4" t="e">
        <f>#REF!-"GqN!0u"</f>
        <v>#REF!</v>
      </c>
      <c r="DR4" t="e">
        <f>#REF!-"GqN!0v"</f>
        <v>#REF!</v>
      </c>
      <c r="DS4" t="e">
        <f>#REF!-"GqN!0w"</f>
        <v>#REF!</v>
      </c>
      <c r="DT4" t="e">
        <f>#REF!-"GqN!0x"</f>
        <v>#REF!</v>
      </c>
      <c r="DU4" t="e">
        <f>#REF!-"GqN!0y"</f>
        <v>#REF!</v>
      </c>
      <c r="DV4" t="e">
        <f>#REF!-"GqN!0z"</f>
        <v>#REF!</v>
      </c>
      <c r="DW4" t="e">
        <f>#REF!-"GqN!0{"</f>
        <v>#REF!</v>
      </c>
      <c r="DX4" t="e">
        <f>#REF!-"GqN!0|"</f>
        <v>#REF!</v>
      </c>
      <c r="DY4" t="e">
        <f>#REF!-"GqN!0}"</f>
        <v>#REF!</v>
      </c>
      <c r="DZ4" t="e">
        <f>#REF!-"GqN!0~"</f>
        <v>#REF!</v>
      </c>
      <c r="EA4" t="e">
        <f>#REF!-"GqN!1#"</f>
        <v>#REF!</v>
      </c>
      <c r="EB4" t="e">
        <f>#REF!-"GqN!1$"</f>
        <v>#REF!</v>
      </c>
      <c r="EC4" t="e">
        <f>#REF!-"GqN!1%"</f>
        <v>#REF!</v>
      </c>
      <c r="ED4" t="e">
        <f>#REF!-"GqN!1&amp;"</f>
        <v>#REF!</v>
      </c>
      <c r="EE4" t="e">
        <f>#REF!-"GqN!1'"</f>
        <v>#REF!</v>
      </c>
      <c r="EF4" t="e">
        <f>#REF!-"GqN!1("</f>
        <v>#REF!</v>
      </c>
      <c r="EG4" t="e">
        <f>#REF!-"GqN!1)"</f>
        <v>#REF!</v>
      </c>
      <c r="EH4" t="e">
        <f>#REF!-"GqN!1."</f>
        <v>#REF!</v>
      </c>
      <c r="EI4" t="e">
        <f>#REF!-"GqN!1/"</f>
        <v>#REF!</v>
      </c>
      <c r="EJ4" t="e">
        <f>#REF!-"GqN!10"</f>
        <v>#REF!</v>
      </c>
      <c r="EK4" t="e">
        <f>#REF!-"GqN!11"</f>
        <v>#REF!</v>
      </c>
      <c r="EL4" t="e">
        <f>#REF!-"GqN!12"</f>
        <v>#REF!</v>
      </c>
      <c r="EM4" t="e">
        <f>#REF!-"GqN!13"</f>
        <v>#REF!</v>
      </c>
      <c r="EN4" t="e">
        <f>#REF!-"GqN!14"</f>
        <v>#REF!</v>
      </c>
      <c r="EO4" t="e">
        <f>#REF!-"GqN!15"</f>
        <v>#REF!</v>
      </c>
      <c r="EP4" t="e">
        <f>#REF!-"GqN!16"</f>
        <v>#REF!</v>
      </c>
      <c r="EQ4" t="e">
        <f>#REF!-"GqN!17"</f>
        <v>#REF!</v>
      </c>
      <c r="ER4" t="e">
        <f>#REF!-"GqN!18"</f>
        <v>#REF!</v>
      </c>
      <c r="ES4" t="e">
        <f>#REF!-"GqN!19"</f>
        <v>#REF!</v>
      </c>
      <c r="ET4" t="e">
        <f>#REF!-"GqN!1:"</f>
        <v>#REF!</v>
      </c>
      <c r="EU4" t="e">
        <f>#REF!-"GqN!1;"</f>
        <v>#REF!</v>
      </c>
      <c r="EV4" t="e">
        <f>#REF!-"GqN!1&lt;"</f>
        <v>#REF!</v>
      </c>
      <c r="EW4" t="e">
        <f>#REF!-"GqN!1="</f>
        <v>#REF!</v>
      </c>
      <c r="EX4" t="e">
        <f>#REF!-"GqN!1&gt;"</f>
        <v>#REF!</v>
      </c>
      <c r="EY4" t="e">
        <f>#REF!-"GqN!1?"</f>
        <v>#REF!</v>
      </c>
      <c r="EZ4" t="e">
        <f>#REF!-"GqN!1@"</f>
        <v>#REF!</v>
      </c>
      <c r="FA4" t="e">
        <f>#REF!-"GqN!1A"</f>
        <v>#REF!</v>
      </c>
      <c r="FB4" t="e">
        <f>#REF!-"GqN!1B"</f>
        <v>#REF!</v>
      </c>
      <c r="FC4" t="e">
        <f>#REF!-"GqN!1C"</f>
        <v>#REF!</v>
      </c>
      <c r="FD4" t="e">
        <f>#REF!-"GqN!1D"</f>
        <v>#REF!</v>
      </c>
      <c r="FE4" t="e">
        <f>#REF!-"GqN!1E"</f>
        <v>#REF!</v>
      </c>
      <c r="FF4" t="e">
        <f>#REF!-"GqN!1F"</f>
        <v>#REF!</v>
      </c>
      <c r="FG4" t="e">
        <f>#REF!-"GqN!1G"</f>
        <v>#REF!</v>
      </c>
      <c r="FH4" t="e">
        <f>#REF!-"GqN!1H"</f>
        <v>#REF!</v>
      </c>
      <c r="FI4" t="e">
        <f>#REF!-"GqN!1I"</f>
        <v>#REF!</v>
      </c>
      <c r="FJ4" t="e">
        <f>#REF!-"GqN!1J"</f>
        <v>#REF!</v>
      </c>
      <c r="FK4" t="e">
        <f>#REF!-"GqN!1K"</f>
        <v>#REF!</v>
      </c>
      <c r="FL4" t="e">
        <f>#REF!-"GqN!1L"</f>
        <v>#REF!</v>
      </c>
      <c r="FM4" t="e">
        <f>#REF!-"GqN!1M"</f>
        <v>#REF!</v>
      </c>
      <c r="FN4" t="e">
        <f>#REF!-"GqN!1N"</f>
        <v>#REF!</v>
      </c>
      <c r="FO4" t="e">
        <f>#REF!-"GqN!1O"</f>
        <v>#REF!</v>
      </c>
      <c r="FP4" t="e">
        <f>#REF!-"GqN!1P"</f>
        <v>#REF!</v>
      </c>
      <c r="FQ4" t="e">
        <f>#REF!-"GqN!1Q"</f>
        <v>#REF!</v>
      </c>
      <c r="FR4" t="e">
        <f>#REF!-"GqN!1R"</f>
        <v>#REF!</v>
      </c>
      <c r="FS4" t="e">
        <f>#REF!-"GqN!1S"</f>
        <v>#REF!</v>
      </c>
      <c r="FT4" t="e">
        <f>#REF!-"GqN!1T"</f>
        <v>#REF!</v>
      </c>
      <c r="FU4" t="e">
        <f>#REF!-"GqN!1U"</f>
        <v>#REF!</v>
      </c>
      <c r="FV4" t="e">
        <f>#REF!-"GqN!1V"</f>
        <v>#REF!</v>
      </c>
      <c r="FW4" t="e">
        <f>#REF!-"GqN!1W"</f>
        <v>#REF!</v>
      </c>
      <c r="FX4" t="e">
        <f>#REF!-"GqN!1X"</f>
        <v>#REF!</v>
      </c>
      <c r="FY4" t="e">
        <f>#REF!-"GqN!1Y"</f>
        <v>#REF!</v>
      </c>
      <c r="FZ4" t="e">
        <f>#REF!-"GqN!1Z"</f>
        <v>#REF!</v>
      </c>
      <c r="GA4" t="e">
        <f>#REF!-"GqN!1["</f>
        <v>#REF!</v>
      </c>
      <c r="GB4" t="e">
        <f>#REF!-"GqN!1\"</f>
        <v>#REF!</v>
      </c>
      <c r="GC4" t="e">
        <f>#REF!-"GqN!1]"</f>
        <v>#REF!</v>
      </c>
      <c r="GD4" t="e">
        <f>#REF!-"GqN!1^"</f>
        <v>#REF!</v>
      </c>
      <c r="GE4" t="e">
        <f>#REF!-"GqN!1_"</f>
        <v>#REF!</v>
      </c>
      <c r="GF4" t="e">
        <f>#REF!-"GqN!1`"</f>
        <v>#REF!</v>
      </c>
      <c r="GG4" t="e">
        <f>#REF!-"GqN!1a"</f>
        <v>#REF!</v>
      </c>
      <c r="GH4" t="e">
        <f>#REF!-"GqN!1b"</f>
        <v>#REF!</v>
      </c>
      <c r="GI4" t="e">
        <f>#REF!-"GqN!1c"</f>
        <v>#REF!</v>
      </c>
      <c r="GJ4" t="e">
        <f>#REF!-"GqN!1d"</f>
        <v>#REF!</v>
      </c>
      <c r="GK4" t="e">
        <f>#REF!-"GqN!1e"</f>
        <v>#REF!</v>
      </c>
      <c r="GL4" t="e">
        <f>#REF!-"GqN!1f"</f>
        <v>#REF!</v>
      </c>
      <c r="GM4" t="e">
        <f>#REF!-"GqN!1g"</f>
        <v>#REF!</v>
      </c>
      <c r="GN4" t="e">
        <f>#REF!-"GqN!1h"</f>
        <v>#REF!</v>
      </c>
      <c r="GO4" t="e">
        <f>#REF!-"GqN!1i"</f>
        <v>#REF!</v>
      </c>
      <c r="GP4" t="e">
        <f>#REF!-"GqN!1j"</f>
        <v>#REF!</v>
      </c>
      <c r="GQ4" t="e">
        <f>#REF!-"GqN!1k"</f>
        <v>#REF!</v>
      </c>
      <c r="GR4" t="e">
        <f>#REF!+"GqN!1l"</f>
        <v>#REF!</v>
      </c>
      <c r="GS4" t="e">
        <f>#REF!+"GqN!1m"</f>
        <v>#REF!</v>
      </c>
      <c r="GT4" t="e">
        <f>#REF!+"GqN!1n"</f>
        <v>#REF!</v>
      </c>
      <c r="GU4" t="e">
        <f>#REF!+"GqN!1o"</f>
        <v>#REF!</v>
      </c>
      <c r="GV4" t="e">
        <f>#REF!+"GqN!1p"</f>
        <v>#REF!</v>
      </c>
      <c r="GW4" t="e">
        <f>#REF!+"GqN!1q"</f>
        <v>#REF!</v>
      </c>
      <c r="GX4" t="e">
        <f>#REF!+"GqN!1r"</f>
        <v>#REF!</v>
      </c>
      <c r="GY4" t="e">
        <f>#REF!+"GqN!1s"</f>
        <v>#REF!</v>
      </c>
      <c r="GZ4" t="e">
        <f>#REF!+"GqN!1t"</f>
        <v>#REF!</v>
      </c>
      <c r="HA4" t="e">
        <f>#REF!+"GqN!1u"</f>
        <v>#REF!</v>
      </c>
      <c r="HB4" t="e">
        <f>#REF!+"GqN!1v"</f>
        <v>#REF!</v>
      </c>
      <c r="HC4" t="e">
        <f>#REF!+"GqN!1w"</f>
        <v>#REF!</v>
      </c>
      <c r="HD4" t="e">
        <f>#REF!+"GqN!1x"</f>
        <v>#REF!</v>
      </c>
      <c r="HE4" t="e">
        <f>#REF!+"GqN!1y"</f>
        <v>#REF!</v>
      </c>
      <c r="HF4" t="e">
        <f>#REF!+"GqN!1z"</f>
        <v>#REF!</v>
      </c>
      <c r="HG4" t="e">
        <f>#REF!+"GqN!1{"</f>
        <v>#REF!</v>
      </c>
      <c r="HH4" t="e">
        <f>#REF!+"GqN!1|"</f>
        <v>#REF!</v>
      </c>
      <c r="HI4" t="e">
        <f>#REF!+"GqN!1}"</f>
        <v>#REF!</v>
      </c>
      <c r="HJ4" t="e">
        <f>#REF!+"GqN!1~"</f>
        <v>#REF!</v>
      </c>
      <c r="HK4" t="e">
        <f>#REF!+"GqN!2#"</f>
        <v>#REF!</v>
      </c>
      <c r="HL4" t="e">
        <f>#REF!+"GqN!2$"</f>
        <v>#REF!</v>
      </c>
      <c r="HM4" t="e">
        <f>#REF!+"GqN!2%"</f>
        <v>#REF!</v>
      </c>
      <c r="HN4" t="e">
        <f>#REF!+"GqN!2&amp;"</f>
        <v>#REF!</v>
      </c>
      <c r="HO4" t="e">
        <f>#REF!+"GqN!2'"</f>
        <v>#REF!</v>
      </c>
      <c r="HP4" t="e">
        <f>#REF!+"GqN!2("</f>
        <v>#REF!</v>
      </c>
      <c r="HQ4" t="e">
        <f>#REF!+"GqN!2)"</f>
        <v>#REF!</v>
      </c>
      <c r="HR4" t="e">
        <f>#REF!+"GqN!2."</f>
        <v>#REF!</v>
      </c>
      <c r="HS4" t="e">
        <f>#REF!+"GqN!2/"</f>
        <v>#REF!</v>
      </c>
      <c r="HT4" t="e">
        <f>#REF!+"GqN!20"</f>
        <v>#REF!</v>
      </c>
      <c r="HU4" t="e">
        <f>#REF!+"GqN!21"</f>
        <v>#REF!</v>
      </c>
      <c r="HV4" t="e">
        <f>#REF!+"GqN!22"</f>
        <v>#REF!</v>
      </c>
      <c r="HW4" t="e">
        <f>#REF!+"GqN!23"</f>
        <v>#REF!</v>
      </c>
      <c r="HX4" t="e">
        <f>#REF!+"GqN!24"</f>
        <v>#REF!</v>
      </c>
      <c r="HY4" t="e">
        <f>#REF!+"GqN!25"</f>
        <v>#REF!</v>
      </c>
      <c r="HZ4" t="e">
        <f>#REF!+"GqN!26"</f>
        <v>#REF!</v>
      </c>
      <c r="IA4" t="e">
        <f>#REF!+"GqN!27"</f>
        <v>#REF!</v>
      </c>
      <c r="IB4" t="e">
        <f>#REF!+"GqN!28"</f>
        <v>#REF!</v>
      </c>
      <c r="IC4" t="e">
        <f>#REF!+"GqN!29"</f>
        <v>#REF!</v>
      </c>
      <c r="ID4" t="e">
        <f>#REF!+"GqN!2:"</f>
        <v>#REF!</v>
      </c>
      <c r="IE4" t="e">
        <f>#REF!+"GqN!2;"</f>
        <v>#REF!</v>
      </c>
      <c r="IF4" t="e">
        <f>#REF!+"GqN!2&lt;"</f>
        <v>#REF!</v>
      </c>
      <c r="IG4" t="e">
        <f>#REF!+"GqN!2="</f>
        <v>#REF!</v>
      </c>
      <c r="IH4" t="e">
        <f>#REF!+"GqN!2&gt;"</f>
        <v>#REF!</v>
      </c>
      <c r="II4" t="e">
        <f>#REF!+"GqN!2?"</f>
        <v>#REF!</v>
      </c>
      <c r="IJ4" t="e">
        <f>#REF!+"GqN!2@"</f>
        <v>#REF!</v>
      </c>
      <c r="IK4" t="e">
        <f>#REF!+"GqN!2A"</f>
        <v>#REF!</v>
      </c>
      <c r="IL4" t="e">
        <f>#REF!+"GqN!2B"</f>
        <v>#REF!</v>
      </c>
      <c r="IM4" t="e">
        <f>#REF!+"GqN!2C"</f>
        <v>#REF!</v>
      </c>
      <c r="IN4" t="e">
        <f>#REF!+"GqN!2D"</f>
        <v>#REF!</v>
      </c>
      <c r="IO4" t="e">
        <f>#REF!+"GqN!2E"</f>
        <v>#REF!</v>
      </c>
      <c r="IP4" t="e">
        <f>#REF!+"GqN!2F"</f>
        <v>#REF!</v>
      </c>
      <c r="IQ4" t="e">
        <f>#REF!+"GqN!2G"</f>
        <v>#REF!</v>
      </c>
      <c r="IR4" t="e">
        <f>#REF!+"GqN!2H"</f>
        <v>#REF!</v>
      </c>
      <c r="IS4" t="e">
        <f>#REF!+"GqN!2I"</f>
        <v>#REF!</v>
      </c>
      <c r="IT4" t="e">
        <f>#REF!*"GqN!2J"</f>
        <v>#REF!</v>
      </c>
      <c r="IU4" t="e">
        <f>#REF!*"GqN!2K"</f>
        <v>#REF!</v>
      </c>
      <c r="IV4" t="e">
        <f>#REF!*"GqN!2L"</f>
        <v>#REF!</v>
      </c>
    </row>
    <row r="5" spans="1:256">
      <c r="A5" t="s">
        <v>87</v>
      </c>
      <c r="F5" t="e">
        <f>#REF!*"GqN!2M"</f>
        <v>#REF!</v>
      </c>
      <c r="G5" t="e">
        <f>#REF!*"GqN!2N"</f>
        <v>#REF!</v>
      </c>
      <c r="H5" t="e">
        <f>#REF!*"GqN!2O"</f>
        <v>#REF!</v>
      </c>
      <c r="I5" t="e">
        <f>#REF!*"GqN!2P"</f>
        <v>#REF!</v>
      </c>
      <c r="J5" t="e">
        <f>#REF!*"GqN!2Q"</f>
        <v>#REF!</v>
      </c>
      <c r="K5" t="e">
        <f>#REF!*"GqN!2R"</f>
        <v>#REF!</v>
      </c>
      <c r="L5" t="e">
        <f>#REF!*"GqN!2S"</f>
        <v>#REF!</v>
      </c>
      <c r="M5" t="e">
        <f>#REF!*"GqN!2T"</f>
        <v>#REF!</v>
      </c>
      <c r="N5" t="e">
        <f>#REF!*"GqN!2U"</f>
        <v>#REF!</v>
      </c>
      <c r="O5" t="e">
        <f>#REF!*"GqN!2V"</f>
        <v>#REF!</v>
      </c>
      <c r="P5" t="e">
        <f>#REF!*"GqN!2W"</f>
        <v>#REF!</v>
      </c>
      <c r="Q5" t="e">
        <f>#REF!*"GqN!2X"</f>
        <v>#REF!</v>
      </c>
      <c r="R5" t="e">
        <f>#REF!*"GqN!2Y"</f>
        <v>#REF!</v>
      </c>
      <c r="S5" t="e">
        <f>#REF!*"GqN!2Z"</f>
        <v>#REF!</v>
      </c>
      <c r="T5" t="e">
        <f>#REF!*"GqN!2["</f>
        <v>#REF!</v>
      </c>
      <c r="U5" t="e">
        <f>#REF!*"GqN!2\"</f>
        <v>#REF!</v>
      </c>
      <c r="V5" t="e">
        <f>#REF!*"GqN!2]"</f>
        <v>#REF!</v>
      </c>
      <c r="W5" t="e">
        <f>#REF!*"GqN!2^"</f>
        <v>#REF!</v>
      </c>
      <c r="X5" t="e">
        <f>#REF!*"GqN!2_"</f>
        <v>#REF!</v>
      </c>
      <c r="Y5" t="e">
        <f>#REF!*"GqN!2`"</f>
        <v>#REF!</v>
      </c>
      <c r="Z5" t="e">
        <f>#REF!*"GqN!2a"</f>
        <v>#REF!</v>
      </c>
      <c r="AA5" t="e">
        <f>#REF!*"GqN!2b"</f>
        <v>#REF!</v>
      </c>
      <c r="AB5" t="e">
        <f>#REF!*"GqN!2c"</f>
        <v>#REF!</v>
      </c>
      <c r="AC5" t="e">
        <f>#REF!*"GqN!2d"</f>
        <v>#REF!</v>
      </c>
      <c r="AD5" t="e">
        <f>#REF!*"GqN!2e"</f>
        <v>#REF!</v>
      </c>
      <c r="AE5" t="e">
        <f>#REF!*"GqN!2f"</f>
        <v>#REF!</v>
      </c>
      <c r="AF5" t="e">
        <f>#REF!*"GqN!2g"</f>
        <v>#REF!</v>
      </c>
      <c r="AG5" t="e">
        <f>#REF!*"GqN!2h"</f>
        <v>#REF!</v>
      </c>
      <c r="AH5" t="e">
        <f>#REF!*"GqN!2i"</f>
        <v>#REF!</v>
      </c>
      <c r="AI5" t="e">
        <f>#REF!*"GqN!2j"</f>
        <v>#REF!</v>
      </c>
      <c r="AJ5" t="e">
        <f>#REF!*"GqN!2k"</f>
        <v>#REF!</v>
      </c>
      <c r="AK5" t="e">
        <f>#REF!*"GqN!2l"</f>
        <v>#REF!</v>
      </c>
      <c r="AL5" t="e">
        <f>#REF!*"GqN!2m"</f>
        <v>#REF!</v>
      </c>
      <c r="AM5" t="e">
        <f>#REF!*"GqN!2n"</f>
        <v>#REF!</v>
      </c>
      <c r="AN5" t="e">
        <f>#REF!*"GqN!2o"</f>
        <v>#REF!</v>
      </c>
      <c r="AO5" t="e">
        <f>#REF!*"GqN!2p"</f>
        <v>#REF!</v>
      </c>
      <c r="AP5" t="e">
        <f>#REF!*"GqN!2q"</f>
        <v>#REF!</v>
      </c>
      <c r="AQ5" t="e">
        <f>#REF!*"GqN!2r"</f>
        <v>#REF!</v>
      </c>
      <c r="AR5" t="e">
        <f>#REF!*"GqN!2s"</f>
        <v>#REF!</v>
      </c>
      <c r="AS5" t="e">
        <f>#REF!*"GqN!2t"</f>
        <v>#REF!</v>
      </c>
      <c r="AT5" t="e">
        <f>#REF!*"GqN!2u"</f>
        <v>#REF!</v>
      </c>
      <c r="AU5" t="e">
        <f>#REF!*"GqN!2v"</f>
        <v>#REF!</v>
      </c>
      <c r="AV5" t="e">
        <f>#REF!*"GqN!2w"</f>
        <v>#REF!</v>
      </c>
      <c r="AW5" t="e">
        <f>#REF!*"GqN!2x"</f>
        <v>#REF!</v>
      </c>
      <c r="AX5" t="e">
        <f>#REF!*"GqN!2y"</f>
        <v>#REF!</v>
      </c>
      <c r="AY5" t="e">
        <f>#REF!*"GqN!2z"</f>
        <v>#REF!</v>
      </c>
      <c r="AZ5" t="e">
        <f>#REF!*"GqN!2{"</f>
        <v>#REF!</v>
      </c>
      <c r="BA5" t="e">
        <f>#REF!*"GqN!2|"</f>
        <v>#REF!</v>
      </c>
      <c r="BB5" t="e">
        <f>#REF!*"GqN!2}"</f>
        <v>#REF!</v>
      </c>
      <c r="BC5" t="e">
        <f>#REF!*"GqN!2~"</f>
        <v>#REF!</v>
      </c>
      <c r="BD5" t="e">
        <f>#REF!*"GqN!3#"</f>
        <v>#REF!</v>
      </c>
      <c r="BE5" t="e">
        <f>#REF!*"GqN!3$"</f>
        <v>#REF!</v>
      </c>
      <c r="BF5" t="e">
        <f>#REF!*"GqN!3%"</f>
        <v>#REF!</v>
      </c>
      <c r="BG5" t="e">
        <f>#REF!*"GqN!3&amp;"</f>
        <v>#REF!</v>
      </c>
      <c r="BH5" t="e">
        <f>#REF!*"GqN!3'"</f>
        <v>#REF!</v>
      </c>
      <c r="BI5" t="e">
        <f>#REF!-"GqN!3("</f>
        <v>#REF!</v>
      </c>
      <c r="BJ5" t="e">
        <f>#REF!-"GqN!3)"</f>
        <v>#REF!</v>
      </c>
      <c r="BK5" t="e">
        <f>#REF!-"GqN!3."</f>
        <v>#REF!</v>
      </c>
      <c r="BL5" t="e">
        <f>#REF!-"GqN!3/"</f>
        <v>#REF!</v>
      </c>
      <c r="BM5" t="e">
        <f>#REF!-"GqN!30"</f>
        <v>#REF!</v>
      </c>
      <c r="BN5" t="e">
        <f>#REF!-"GqN!31"</f>
        <v>#REF!</v>
      </c>
      <c r="BO5" t="e">
        <f>#REF!-"GqN!32"</f>
        <v>#REF!</v>
      </c>
      <c r="BP5" t="e">
        <f>#REF!-"GqN!33"</f>
        <v>#REF!</v>
      </c>
      <c r="BQ5" t="e">
        <f>#REF!-"GqN!34"</f>
        <v>#REF!</v>
      </c>
      <c r="BR5" t="e">
        <f>#REF!-"GqN!35"</f>
        <v>#REF!</v>
      </c>
      <c r="BS5" t="e">
        <f>#REF!-"GqN!36"</f>
        <v>#REF!</v>
      </c>
      <c r="BT5" t="e">
        <f>#REF!-"GqN!37"</f>
        <v>#REF!</v>
      </c>
      <c r="BU5" t="e">
        <f>#REF!-"GqN!38"</f>
        <v>#REF!</v>
      </c>
      <c r="BV5" t="e">
        <f>#REF!-"GqN!39"</f>
        <v>#REF!</v>
      </c>
      <c r="BW5" t="e">
        <f>#REF!-"GqN!3:"</f>
        <v>#REF!</v>
      </c>
      <c r="BX5" t="e">
        <f>#REF!-"GqN!3;"</f>
        <v>#REF!</v>
      </c>
      <c r="BY5" t="e">
        <f>#REF!-"GqN!3&lt;"</f>
        <v>#REF!</v>
      </c>
      <c r="BZ5" t="e">
        <f>#REF!-"GqN!3="</f>
        <v>#REF!</v>
      </c>
      <c r="CA5" t="e">
        <f>#REF!-"GqN!3&gt;"</f>
        <v>#REF!</v>
      </c>
      <c r="CB5" t="e">
        <f>#REF!-"GqN!3?"</f>
        <v>#REF!</v>
      </c>
      <c r="CC5" t="e">
        <f>#REF!-"GqN!3@"</f>
        <v>#REF!</v>
      </c>
      <c r="CD5" t="e">
        <f>#REF!-"GqN!3A"</f>
        <v>#REF!</v>
      </c>
      <c r="CE5" t="e">
        <f>#REF!-"GqN!3B"</f>
        <v>#REF!</v>
      </c>
      <c r="CF5" t="e">
        <f>#REF!-"GqN!3C"</f>
        <v>#REF!</v>
      </c>
      <c r="CG5" t="e">
        <f>#REF!-"GqN!3D"</f>
        <v>#REF!</v>
      </c>
      <c r="CH5" t="e">
        <f>#REF!-"GqN!3E"</f>
        <v>#REF!</v>
      </c>
      <c r="CI5" t="e">
        <f>#REF!-"GqN!3F"</f>
        <v>#REF!</v>
      </c>
      <c r="CJ5" t="e">
        <f>#REF!-"GqN!3G"</f>
        <v>#REF!</v>
      </c>
      <c r="CK5" t="e">
        <f>#REF!-"GqN!3H"</f>
        <v>#REF!</v>
      </c>
      <c r="CL5" t="e">
        <f>#REF!-"GqN!3I"</f>
        <v>#REF!</v>
      </c>
      <c r="CM5" t="e">
        <f>#REF!-"GqN!3J"</f>
        <v>#REF!</v>
      </c>
      <c r="CN5" t="e">
        <f>#REF!-"GqN!3K"</f>
        <v>#REF!</v>
      </c>
      <c r="CO5" t="e">
        <f>#REF!-"GqN!3L"</f>
        <v>#REF!</v>
      </c>
      <c r="CP5" t="e">
        <f>#REF!-"GqN!3M"</f>
        <v>#REF!</v>
      </c>
      <c r="CQ5" t="e">
        <f>#REF!-"GqN!3N"</f>
        <v>#REF!</v>
      </c>
      <c r="CR5" t="e">
        <f>#REF!-"GqN!3O"</f>
        <v>#REF!</v>
      </c>
      <c r="CS5" t="e">
        <f>#REF!-"GqN!3P"</f>
        <v>#REF!</v>
      </c>
      <c r="CT5" t="e">
        <f>#REF!-"GqN!3Q"</f>
        <v>#REF!</v>
      </c>
      <c r="CU5" t="e">
        <f>#REF!-"GqN!3R"</f>
        <v>#REF!</v>
      </c>
      <c r="CV5" t="e">
        <f>#REF!-"GqN!3S"</f>
        <v>#REF!</v>
      </c>
      <c r="CW5" t="e">
        <f>#REF!-"GqN!3T"</f>
        <v>#REF!</v>
      </c>
      <c r="CX5" t="e">
        <f>#REF!-"GqN!3U"</f>
        <v>#REF!</v>
      </c>
      <c r="CY5" t="e">
        <f>#REF!-"GqN!3V"</f>
        <v>#REF!</v>
      </c>
      <c r="CZ5" t="e">
        <f>#REF!-"GqN!3W"</f>
        <v>#REF!</v>
      </c>
      <c r="DA5" t="e">
        <f>#REF!-"GqN!3X"</f>
        <v>#REF!</v>
      </c>
      <c r="DB5" t="e">
        <f>#REF!-"GqN!3Y"</f>
        <v>#REF!</v>
      </c>
      <c r="DC5" t="e">
        <f>#REF!-"GqN!3Z"</f>
        <v>#REF!</v>
      </c>
      <c r="DD5" t="e">
        <f>#REF!-"GqN!3["</f>
        <v>#REF!</v>
      </c>
      <c r="DE5" t="e">
        <f>#REF!-"GqN!3\"</f>
        <v>#REF!</v>
      </c>
      <c r="DF5" t="e">
        <f>#REF!-"GqN!3]"</f>
        <v>#REF!</v>
      </c>
      <c r="DG5" t="e">
        <f>#REF!-"GqN!3^"</f>
        <v>#REF!</v>
      </c>
      <c r="DH5" t="e">
        <f>#REF!-"GqN!3_"</f>
        <v>#REF!</v>
      </c>
      <c r="DI5" t="e">
        <f>#REF!-"GqN!3`"</f>
        <v>#REF!</v>
      </c>
      <c r="DJ5" t="e">
        <f>#REF!-"GqN!3a"</f>
        <v>#REF!</v>
      </c>
      <c r="DK5" t="e">
        <f>#REF!-"GqN!3b"</f>
        <v>#REF!</v>
      </c>
      <c r="DL5" t="e">
        <f>#REF!-"GqN!3c"</f>
        <v>#REF!</v>
      </c>
      <c r="DM5" t="e">
        <f>#REF!-"GqN!3d"</f>
        <v>#REF!</v>
      </c>
      <c r="DN5" t="e">
        <f>#REF!-"GqN!3e"</f>
        <v>#REF!</v>
      </c>
      <c r="DO5" t="e">
        <f>#REF!-"GqN!3f"</f>
        <v>#REF!</v>
      </c>
      <c r="DP5" t="e">
        <f>#REF!-"GqN!3g"</f>
        <v>#REF!</v>
      </c>
      <c r="DQ5" t="e">
        <f>#REF!-"GqN!3h"</f>
        <v>#REF!</v>
      </c>
      <c r="DR5" t="e">
        <f>#REF!-"GqN!3i"</f>
        <v>#REF!</v>
      </c>
      <c r="DS5" t="e">
        <f>#REF!-"GqN!3j"</f>
        <v>#REF!</v>
      </c>
      <c r="DT5" t="e">
        <f>#REF!-"GqN!3k"</f>
        <v>#REF!</v>
      </c>
      <c r="DU5" t="e">
        <f>#REF!-"GqN!3l"</f>
        <v>#REF!</v>
      </c>
      <c r="DV5" t="e">
        <f>#REF!-"GqN!3m"</f>
        <v>#REF!</v>
      </c>
      <c r="DW5" t="e">
        <f>#REF!-"GqN!3n"</f>
        <v>#REF!</v>
      </c>
      <c r="DX5" t="e">
        <f>#REF!-"GqN!3o"</f>
        <v>#REF!</v>
      </c>
      <c r="DY5" t="e">
        <f>#REF!-"GqN!3p"</f>
        <v>#REF!</v>
      </c>
      <c r="DZ5" t="e">
        <f>#REF!-"GqN!3q"</f>
        <v>#REF!</v>
      </c>
      <c r="EA5" t="e">
        <f>#REF!-"GqN!3r"</f>
        <v>#REF!</v>
      </c>
      <c r="EB5" t="e">
        <f>#REF!-"GqN!3s"</f>
        <v>#REF!</v>
      </c>
      <c r="EC5" t="e">
        <f>#REF!-"GqN!3t"</f>
        <v>#REF!</v>
      </c>
      <c r="ED5" t="e">
        <f>#REF!-"GqN!3u"</f>
        <v>#REF!</v>
      </c>
      <c r="EE5" t="e">
        <f>#REF!-"GqN!3v"</f>
        <v>#REF!</v>
      </c>
      <c r="EF5" t="e">
        <f>#REF!-"GqN!3w"</f>
        <v>#REF!</v>
      </c>
      <c r="EG5" t="e">
        <f>#REF!-"GqN!3x"</f>
        <v>#REF!</v>
      </c>
      <c r="EH5" t="e">
        <f>#REF!-"GqN!3y"</f>
        <v>#REF!</v>
      </c>
      <c r="EI5" t="e">
        <f>#REF!-"GqN!3z"</f>
        <v>#REF!</v>
      </c>
      <c r="EJ5" t="e">
        <f>#REF!-"GqN!3{"</f>
        <v>#REF!</v>
      </c>
      <c r="EK5" t="e">
        <f>#REF!-"GqN!3|"</f>
        <v>#REF!</v>
      </c>
      <c r="EL5" t="e">
        <f>#REF!-"GqN!3}"</f>
        <v>#REF!</v>
      </c>
      <c r="EM5" t="e">
        <f>#REF!-"GqN!3~"</f>
        <v>#REF!</v>
      </c>
      <c r="EN5" t="e">
        <f>#REF!-"GqN!4#"</f>
        <v>#REF!</v>
      </c>
      <c r="EO5" t="e">
        <f>#REF!-"GqN!4$"</f>
        <v>#REF!</v>
      </c>
      <c r="EP5" t="e">
        <f>#REF!-"GqN!4%"</f>
        <v>#REF!</v>
      </c>
      <c r="EQ5" t="e">
        <f>#REF!-"GqN!4&amp;"</f>
        <v>#REF!</v>
      </c>
      <c r="ER5" t="e">
        <f>#REF!-"GqN!4'"</f>
        <v>#REF!</v>
      </c>
      <c r="ES5" t="e">
        <f>#REF!-"GqN!4("</f>
        <v>#REF!</v>
      </c>
      <c r="ET5" t="e">
        <f>#REF!-"GqN!4)"</f>
        <v>#REF!</v>
      </c>
      <c r="EU5" t="e">
        <f>#REF!-"GqN!4."</f>
        <v>#REF!</v>
      </c>
      <c r="EV5" t="e">
        <f>#REF!-"GqN!4/"</f>
        <v>#REF!</v>
      </c>
      <c r="EW5" t="e">
        <f>#REF!-"GqN!40"</f>
        <v>#REF!</v>
      </c>
      <c r="EX5" t="e">
        <f>#REF!-"GqN!41"</f>
        <v>#REF!</v>
      </c>
      <c r="EY5" t="e">
        <f>#REF!-"GqN!42"</f>
        <v>#REF!</v>
      </c>
      <c r="EZ5" t="e">
        <f>#REF!-"GqN!43"</f>
        <v>#REF!</v>
      </c>
      <c r="FA5" t="e">
        <f>#REF!-"GqN!44"</f>
        <v>#REF!</v>
      </c>
      <c r="FB5" t="e">
        <f>#REF!-"GqN!45"</f>
        <v>#REF!</v>
      </c>
      <c r="FC5" t="e">
        <f>#REF!-"GqN!46"</f>
        <v>#REF!</v>
      </c>
      <c r="FD5" t="e">
        <f>#REF!-"GqN!47"</f>
        <v>#REF!</v>
      </c>
      <c r="FE5" t="e">
        <f>#REF!-"GqN!48"</f>
        <v>#REF!</v>
      </c>
      <c r="FF5" t="e">
        <f>#REF!-"GqN!49"</f>
        <v>#REF!</v>
      </c>
      <c r="FG5" t="e">
        <f>#REF!-"GqN!4:"</f>
        <v>#REF!</v>
      </c>
      <c r="FH5" t="e">
        <f>#REF!-"GqN!4;"</f>
        <v>#REF!</v>
      </c>
      <c r="FI5" t="e">
        <f>#REF!-"GqN!4&lt;"</f>
        <v>#REF!</v>
      </c>
      <c r="FJ5" t="e">
        <f>#REF!-"GqN!4="</f>
        <v>#REF!</v>
      </c>
      <c r="FK5" t="e">
        <f>#REF!-"GqN!4&gt;"</f>
        <v>#REF!</v>
      </c>
      <c r="FL5" t="e">
        <f>#REF!-"GqN!4?"</f>
        <v>#REF!</v>
      </c>
      <c r="FM5" t="e">
        <f>#REF!-"GqN!4@"</f>
        <v>#REF!</v>
      </c>
      <c r="FN5" t="e">
        <f>#REF!-"GqN!4A"</f>
        <v>#REF!</v>
      </c>
      <c r="FO5" t="e">
        <f>#REF!-"GqN!4B"</f>
        <v>#REF!</v>
      </c>
      <c r="FP5" t="e">
        <f>#REF!-"GqN!4C"</f>
        <v>#REF!</v>
      </c>
      <c r="FQ5" t="e">
        <f>#REF!-"GqN!4D"</f>
        <v>#REF!</v>
      </c>
      <c r="FR5" t="e">
        <f>#REF!-"GqN!4E"</f>
        <v>#REF!</v>
      </c>
      <c r="FS5" t="e">
        <f>#REF!-"GqN!4F"</f>
        <v>#REF!</v>
      </c>
      <c r="FT5" t="e">
        <f>#REF!-"GqN!4G"</f>
        <v>#REF!</v>
      </c>
      <c r="FU5" t="e">
        <f>#REF!-"GqN!4H"</f>
        <v>#REF!</v>
      </c>
      <c r="FV5" t="e">
        <f>#REF!-"GqN!4I"</f>
        <v>#REF!</v>
      </c>
      <c r="FW5" t="e">
        <f>#REF!-"GqN!4J"</f>
        <v>#REF!</v>
      </c>
      <c r="FX5" t="e">
        <f>#REF!-"GqN!4K"</f>
        <v>#REF!</v>
      </c>
      <c r="FY5" t="e">
        <f>#REF!-"GqN!4L"</f>
        <v>#REF!</v>
      </c>
      <c r="FZ5" t="e">
        <f>#REF!-"GqN!4M"</f>
        <v>#REF!</v>
      </c>
      <c r="GA5" t="e">
        <f>#REF!-"GqN!4N"</f>
        <v>#REF!</v>
      </c>
      <c r="GB5" t="e">
        <f>#REF!-"GqN!4O"</f>
        <v>#REF!</v>
      </c>
      <c r="GC5" t="e">
        <f>#REF!-"GqN!4P"</f>
        <v>#REF!</v>
      </c>
      <c r="GD5" t="e">
        <f>#REF!-"GqN!4Q"</f>
        <v>#REF!</v>
      </c>
      <c r="GE5" t="e">
        <f>#REF!-"GqN!4R"</f>
        <v>#REF!</v>
      </c>
      <c r="GF5" t="e">
        <f>#REF!-"GqN!4S"</f>
        <v>#REF!</v>
      </c>
      <c r="GG5" t="e">
        <f>#REF!-"GqN!4T"</f>
        <v>#REF!</v>
      </c>
      <c r="GH5" t="e">
        <f>#REF!-"GqN!4U"</f>
        <v>#REF!</v>
      </c>
      <c r="GI5" t="e">
        <f>#REF!-"GqN!4V"</f>
        <v>#REF!</v>
      </c>
      <c r="GJ5" t="e">
        <f>#REF!-"GqN!4W"</f>
        <v>#REF!</v>
      </c>
      <c r="GK5" t="e">
        <f>#REF!-"GqN!4X"</f>
        <v>#REF!</v>
      </c>
      <c r="GL5" t="e">
        <f>#REF!-"GqN!4Y"</f>
        <v>#REF!</v>
      </c>
      <c r="GM5" t="e">
        <f>#REF!-"GqN!4Z"</f>
        <v>#REF!</v>
      </c>
      <c r="GN5" t="e">
        <f>#REF!-"GqN!4["</f>
        <v>#REF!</v>
      </c>
      <c r="GO5" t="e">
        <f>#REF!-"GqN!4\"</f>
        <v>#REF!</v>
      </c>
      <c r="GP5" t="e">
        <f>#REF!-"GqN!4]"</f>
        <v>#REF!</v>
      </c>
      <c r="GQ5" t="e">
        <f>#REF!-"GqN!4^"</f>
        <v>#REF!</v>
      </c>
      <c r="GR5" t="e">
        <f>#REF!-"GqN!4_"</f>
        <v>#REF!</v>
      </c>
      <c r="GS5" t="e">
        <f>#REF!-"GqN!4`"</f>
        <v>#REF!</v>
      </c>
      <c r="GT5" t="e">
        <f>#REF!-"GqN!4a"</f>
        <v>#REF!</v>
      </c>
      <c r="GU5" t="e">
        <f>#REF!-"GqN!4b"</f>
        <v>#REF!</v>
      </c>
      <c r="GV5" t="e">
        <f>#REF!-"GqN!4c"</f>
        <v>#REF!</v>
      </c>
      <c r="GW5" t="e">
        <f>#REF!-"GqN!4d"</f>
        <v>#REF!</v>
      </c>
      <c r="GX5" t="e">
        <f>#REF!-"GqN!4e"</f>
        <v>#REF!</v>
      </c>
      <c r="GY5" t="e">
        <f>#REF!-"GqN!4f"</f>
        <v>#REF!</v>
      </c>
      <c r="GZ5" t="e">
        <f>#REF!-"GqN!4g"</f>
        <v>#REF!</v>
      </c>
      <c r="HA5" t="e">
        <f>#REF!-"GqN!4h"</f>
        <v>#REF!</v>
      </c>
      <c r="HB5" t="e">
        <f>#REF!-"GqN!4i"</f>
        <v>#REF!</v>
      </c>
      <c r="HC5" t="e">
        <f>#REF!-"GqN!4j"</f>
        <v>#REF!</v>
      </c>
      <c r="HD5" t="e">
        <f>#REF!-"GqN!4k"</f>
        <v>#REF!</v>
      </c>
      <c r="HE5" t="e">
        <f>#REF!-"GqN!4l"</f>
        <v>#REF!</v>
      </c>
      <c r="HF5" t="e">
        <f>#REF!-"GqN!4m"</f>
        <v>#REF!</v>
      </c>
      <c r="HG5" t="e">
        <f>#REF!-"GqN!4n"</f>
        <v>#REF!</v>
      </c>
      <c r="HH5" t="e">
        <f>#REF!-"GqN!4o"</f>
        <v>#REF!</v>
      </c>
      <c r="HI5" t="e">
        <f>#REF!-"GqN!4p"</f>
        <v>#REF!</v>
      </c>
      <c r="HJ5" t="e">
        <f>#REF!-"GqN!4q"</f>
        <v>#REF!</v>
      </c>
      <c r="HK5" t="e">
        <f>#REF!-"GqN!4r"</f>
        <v>#REF!</v>
      </c>
      <c r="HL5" t="e">
        <f>#REF!-"GqN!4s"</f>
        <v>#REF!</v>
      </c>
      <c r="HM5" t="e">
        <f>#REF!-"GqN!4t"</f>
        <v>#REF!</v>
      </c>
      <c r="HN5" t="e">
        <f>#REF!-"GqN!4u"</f>
        <v>#REF!</v>
      </c>
      <c r="HO5" t="e">
        <f>#REF!-"GqN!4v"</f>
        <v>#REF!</v>
      </c>
      <c r="HP5" t="e">
        <f>#REF!-"GqN!4w"</f>
        <v>#REF!</v>
      </c>
      <c r="HQ5" t="e">
        <f>#REF!-"GqN!4x"</f>
        <v>#REF!</v>
      </c>
      <c r="HR5" t="e">
        <f>#REF!-"GqN!4y"</f>
        <v>#REF!</v>
      </c>
      <c r="HS5" t="e">
        <f>#REF!-"GqN!4z"</f>
        <v>#REF!</v>
      </c>
      <c r="HT5" t="e">
        <f>#REF!-"GqN!4{"</f>
        <v>#REF!</v>
      </c>
      <c r="HU5" t="e">
        <f>#REF!-"GqN!4|"</f>
        <v>#REF!</v>
      </c>
      <c r="HV5" t="e">
        <f>#REF!-"GqN!4}"</f>
        <v>#REF!</v>
      </c>
      <c r="HW5" t="e">
        <f>#REF!-"GqN!4~"</f>
        <v>#REF!</v>
      </c>
      <c r="HX5" t="e">
        <f>#REF!-"GqN!5#"</f>
        <v>#REF!</v>
      </c>
      <c r="HY5" t="e">
        <f>#REF!-"GqN!5$"</f>
        <v>#REF!</v>
      </c>
      <c r="HZ5" t="e">
        <f>#REF!-"GqN!5%"</f>
        <v>#REF!</v>
      </c>
      <c r="IA5" t="e">
        <f>#REF!-"GqN!5&amp;"</f>
        <v>#REF!</v>
      </c>
      <c r="IB5" t="e">
        <f>#REF!-"GqN!5'"</f>
        <v>#REF!</v>
      </c>
      <c r="IC5" t="e">
        <f>#REF!-"GqN!5("</f>
        <v>#REF!</v>
      </c>
      <c r="ID5" t="e">
        <f>#REF!-"GqN!5)"</f>
        <v>#REF!</v>
      </c>
      <c r="IE5" t="e">
        <f>#REF!-"GqN!5."</f>
        <v>#REF!</v>
      </c>
      <c r="IF5" t="e">
        <f>#REF!-"GqN!5/"</f>
        <v>#REF!</v>
      </c>
      <c r="IG5" t="e">
        <f>#REF!-"GqN!50"</f>
        <v>#REF!</v>
      </c>
      <c r="IH5" t="e">
        <f>#REF!-"GqN!51"</f>
        <v>#REF!</v>
      </c>
      <c r="II5" t="e">
        <f>#REF!-"GqN!52"</f>
        <v>#REF!</v>
      </c>
      <c r="IJ5" t="e">
        <f>#REF!-"GqN!53"</f>
        <v>#REF!</v>
      </c>
      <c r="IK5" t="e">
        <f>#REF!-"GqN!54"</f>
        <v>#REF!</v>
      </c>
      <c r="IL5" t="e">
        <f>#REF!-"GqN!55"</f>
        <v>#REF!</v>
      </c>
      <c r="IM5" t="e">
        <f>#REF!-"GqN!56"</f>
        <v>#REF!</v>
      </c>
      <c r="IN5" t="e">
        <f>#REF!-"GqN!57"</f>
        <v>#REF!</v>
      </c>
      <c r="IO5" t="e">
        <f>#REF!-"GqN!58"</f>
        <v>#REF!</v>
      </c>
      <c r="IP5" t="e">
        <f>#REF!-"GqN!59"</f>
        <v>#REF!</v>
      </c>
      <c r="IQ5" t="e">
        <f>#REF!-"GqN!5:"</f>
        <v>#REF!</v>
      </c>
      <c r="IR5" t="e">
        <f>#REF!-"GqN!5;"</f>
        <v>#REF!</v>
      </c>
      <c r="IS5" t="e">
        <f>#REF!-"GqN!5&lt;"</f>
        <v>#REF!</v>
      </c>
      <c r="IT5" t="e">
        <f>#REF!-"GqN!5="</f>
        <v>#REF!</v>
      </c>
      <c r="IU5" t="e">
        <f>#REF!-"GqN!5&gt;"</f>
        <v>#REF!</v>
      </c>
      <c r="IV5" t="e">
        <f>#REF!-"GqN!5?"</f>
        <v>#REF!</v>
      </c>
    </row>
    <row r="6" spans="1:256">
      <c r="F6" t="e">
        <f>#REF!-"GqN!5@"</f>
        <v>#REF!</v>
      </c>
      <c r="G6" t="e">
        <f>#REF!-"GqN!5A"</f>
        <v>#REF!</v>
      </c>
      <c r="H6" t="e">
        <f>#REF!-"GqN!5B"</f>
        <v>#REF!</v>
      </c>
      <c r="I6" t="e">
        <f>#REF!-"GqN!5C"</f>
        <v>#REF!</v>
      </c>
      <c r="J6" t="e">
        <f>#REF!-"GqN!5D"</f>
        <v>#REF!</v>
      </c>
      <c r="K6" t="e">
        <f>#REF!-"GqN!5E"</f>
        <v>#REF!</v>
      </c>
      <c r="L6" t="e">
        <f>#REF!-"GqN!5F"</f>
        <v>#REF!</v>
      </c>
      <c r="M6" t="e">
        <f>#REF!-"GqN!5G"</f>
        <v>#REF!</v>
      </c>
      <c r="N6" t="e">
        <f>#REF!-"GqN!5H"</f>
        <v>#REF!</v>
      </c>
      <c r="O6" t="e">
        <f>#REF!-"GqN!5I"</f>
        <v>#REF!</v>
      </c>
      <c r="P6" t="e">
        <f>#REF!-"GqN!5J"</f>
        <v>#REF!</v>
      </c>
      <c r="Q6" t="e">
        <f>#REF!-"GqN!5K"</f>
        <v>#REF!</v>
      </c>
      <c r="R6" t="e">
        <f>#REF!-"GqN!5L"</f>
        <v>#REF!</v>
      </c>
      <c r="S6" t="e">
        <f>#REF!-"GqN!5M"</f>
        <v>#REF!</v>
      </c>
      <c r="T6" t="e">
        <f>#REF!-"GqN!5N"</f>
        <v>#REF!</v>
      </c>
      <c r="U6" t="e">
        <f>#REF!-"GqN!5O"</f>
        <v>#REF!</v>
      </c>
      <c r="V6" t="e">
        <f>#REF!-"GqN!5P"</f>
        <v>#REF!</v>
      </c>
      <c r="W6" t="e">
        <f>#REF!+"GqN!5Q"</f>
        <v>#REF!</v>
      </c>
      <c r="X6" t="e">
        <f>#REF!+"GqN!5R"</f>
        <v>#REF!</v>
      </c>
      <c r="Y6" t="e">
        <f>#REF!+"GqN!5S"</f>
        <v>#REF!</v>
      </c>
      <c r="Z6" t="e">
        <f>#REF!+"GqN!5T"</f>
        <v>#REF!</v>
      </c>
      <c r="AA6" t="e">
        <f>#REF!+"GqN!5U"</f>
        <v>#REF!</v>
      </c>
      <c r="AB6" t="e">
        <f>#REF!+"GqN!5V"</f>
        <v>#REF!</v>
      </c>
      <c r="AC6" t="e">
        <f>#REF!+"GqN!5W"</f>
        <v>#REF!</v>
      </c>
      <c r="AD6" t="e">
        <f>#REF!+"GqN!5X"</f>
        <v>#REF!</v>
      </c>
      <c r="AE6" t="e">
        <f>#REF!+"GqN!5Y"</f>
        <v>#REF!</v>
      </c>
      <c r="AF6" t="e">
        <f>#REF!+"GqN!5Z"</f>
        <v>#REF!</v>
      </c>
      <c r="AG6" t="e">
        <f>#REF!+"GqN!5["</f>
        <v>#REF!</v>
      </c>
      <c r="AH6" t="e">
        <f>#REF!+"GqN!5\"</f>
        <v>#REF!</v>
      </c>
      <c r="AI6" t="e">
        <f>#REF!+"GqN!5]"</f>
        <v>#REF!</v>
      </c>
      <c r="AJ6" t="e">
        <f>#REF!+"GqN!5^"</f>
        <v>#REF!</v>
      </c>
      <c r="AK6" t="e">
        <f>#REF!+"GqN!5_"</f>
        <v>#REF!</v>
      </c>
      <c r="AL6" t="e">
        <f>#REF!+"GqN!5`"</f>
        <v>#REF!</v>
      </c>
      <c r="AM6" t="e">
        <f>#REF!+"GqN!5a"</f>
        <v>#REF!</v>
      </c>
      <c r="AN6" t="e">
        <f>#REF!+"GqN!5b"</f>
        <v>#REF!</v>
      </c>
      <c r="AO6" t="e">
        <f>#REF!+"GqN!5c"</f>
        <v>#REF!</v>
      </c>
      <c r="AP6" t="e">
        <f>#REF!+"GqN!5d"</f>
        <v>#REF!</v>
      </c>
      <c r="AQ6" t="e">
        <f>#REF!+"GqN!5e"</f>
        <v>#REF!</v>
      </c>
      <c r="AR6" t="e">
        <f>#REF!+"GqN!5f"</f>
        <v>#REF!</v>
      </c>
      <c r="AS6" t="e">
        <f>#REF!+"GqN!5g"</f>
        <v>#REF!</v>
      </c>
      <c r="AT6" t="e">
        <f>#REF!+"GqN!5h"</f>
        <v>#REF!</v>
      </c>
      <c r="AU6" t="e">
        <f>#REF!+"GqN!5i"</f>
        <v>#REF!</v>
      </c>
      <c r="AV6" t="e">
        <f>#REF!+"GqN!5j"</f>
        <v>#REF!</v>
      </c>
      <c r="AW6" t="e">
        <f>#REF!+"GqN!5k"</f>
        <v>#REF!</v>
      </c>
      <c r="AX6" t="e">
        <f>#REF!+"GqN!5l"</f>
        <v>#REF!</v>
      </c>
      <c r="AY6" t="e">
        <f>#REF!+"GqN!5m"</f>
        <v>#REF!</v>
      </c>
      <c r="AZ6" t="e">
        <f>#REF!+"GqN!5n"</f>
        <v>#REF!</v>
      </c>
      <c r="BA6" t="e">
        <f>#REF!+"GqN!5o"</f>
        <v>#REF!</v>
      </c>
      <c r="BB6" t="e">
        <f>#REF!+"GqN!5p"</f>
        <v>#REF!</v>
      </c>
      <c r="BC6" t="e">
        <f>#REF!+"GqN!5q"</f>
        <v>#REF!</v>
      </c>
      <c r="BD6" t="e">
        <f>#REF!+"GqN!5r"</f>
        <v>#REF!</v>
      </c>
      <c r="BE6" t="e">
        <f>#REF!+"GqN!5s"</f>
        <v>#REF!</v>
      </c>
      <c r="BF6" t="e">
        <f>#REF!+"GqN!5t"</f>
        <v>#REF!</v>
      </c>
      <c r="BG6" t="e">
        <f>#REF!+"GqN!5u"</f>
        <v>#REF!</v>
      </c>
      <c r="BH6" t="e">
        <f>#REF!+"GqN!5v"</f>
        <v>#REF!</v>
      </c>
      <c r="BI6" t="e">
        <f>#REF!+"GqN!5w"</f>
        <v>#REF!</v>
      </c>
      <c r="BJ6" t="e">
        <f>#REF!+"GqN!5x"</f>
        <v>#REF!</v>
      </c>
      <c r="BK6" t="e">
        <f>#REF!+"GqN!5y"</f>
        <v>#REF!</v>
      </c>
      <c r="BL6" t="e">
        <f>#REF!+"GqN!5z"</f>
        <v>#REF!</v>
      </c>
      <c r="BM6" t="e">
        <f>#REF!+"GqN!5{"</f>
        <v>#REF!</v>
      </c>
      <c r="BN6" t="e">
        <f>#REF!+"GqN!5|"</f>
        <v>#REF!</v>
      </c>
      <c r="BO6" t="e">
        <f>#REF!+"GqN!5}"</f>
        <v>#REF!</v>
      </c>
      <c r="BP6" t="e">
        <f>#REF!+"GqN!5~"</f>
        <v>#REF!</v>
      </c>
      <c r="BQ6" t="e">
        <f>#REF!+"GqN!6#"</f>
        <v>#REF!</v>
      </c>
      <c r="BR6" t="e">
        <f>#REF!+"GqN!6$"</f>
        <v>#REF!</v>
      </c>
      <c r="BS6" t="e">
        <f>#REF!+"GqN!6%"</f>
        <v>#REF!</v>
      </c>
      <c r="BT6" t="e">
        <f>#REF!+"GqN!6&amp;"</f>
        <v>#REF!</v>
      </c>
      <c r="BU6" t="e">
        <f>#REF!+"GqN!6'"</f>
        <v>#REF!</v>
      </c>
      <c r="BV6" t="e">
        <f>#REF!+"GqN!6("</f>
        <v>#REF!</v>
      </c>
      <c r="BW6" t="e">
        <f>#REF!*"GqN!6)"</f>
        <v>#REF!</v>
      </c>
      <c r="BX6" t="e">
        <f>#REF!*"GqN!6."</f>
        <v>#REF!</v>
      </c>
      <c r="BY6" t="e">
        <f>#REF!*"GqN!6/"</f>
        <v>#REF!</v>
      </c>
      <c r="BZ6" t="e">
        <f>#REF!*"GqN!60"</f>
        <v>#REF!</v>
      </c>
      <c r="CA6" t="e">
        <f>#REF!*"GqN!61"</f>
        <v>#REF!</v>
      </c>
      <c r="CB6" t="e">
        <f>#REF!*"GqN!62"</f>
        <v>#REF!</v>
      </c>
      <c r="CC6" t="e">
        <f>#REF!*"GqN!63"</f>
        <v>#REF!</v>
      </c>
      <c r="CD6" t="e">
        <f>#REF!*"GqN!64"</f>
        <v>#REF!</v>
      </c>
      <c r="CE6" t="e">
        <f>#REF!*"GqN!65"</f>
        <v>#REF!</v>
      </c>
      <c r="CF6" t="e">
        <f>#REF!*"GqN!66"</f>
        <v>#REF!</v>
      </c>
      <c r="CG6" t="e">
        <f>#REF!*"GqN!67"</f>
        <v>#REF!</v>
      </c>
      <c r="CH6" t="e">
        <f>#REF!*"GqN!68"</f>
        <v>#REF!</v>
      </c>
      <c r="CI6" t="e">
        <f>#REF!*"GqN!69"</f>
        <v>#REF!</v>
      </c>
      <c r="CJ6" t="e">
        <f>#REF!*"GqN!6:"</f>
        <v>#REF!</v>
      </c>
      <c r="CK6" t="e">
        <f>#REF!*"GqN!6;"</f>
        <v>#REF!</v>
      </c>
      <c r="CL6" t="e">
        <f>#REF!*"GqN!6&lt;"</f>
        <v>#REF!</v>
      </c>
      <c r="CM6" t="e">
        <f>#REF!*"GqN!6="</f>
        <v>#REF!</v>
      </c>
      <c r="CN6" t="e">
        <f>#REF!*"GqN!6&gt;"</f>
        <v>#REF!</v>
      </c>
      <c r="CO6" t="e">
        <f>#REF!*"GqN!6?"</f>
        <v>#REF!</v>
      </c>
      <c r="CP6" t="e">
        <f>#REF!*"GqN!6@"</f>
        <v>#REF!</v>
      </c>
      <c r="CQ6" t="e">
        <f>#REF!*"GqN!6A"</f>
        <v>#REF!</v>
      </c>
      <c r="CR6" t="e">
        <f>#REF!*"GqN!6B"</f>
        <v>#REF!</v>
      </c>
      <c r="CS6" t="e">
        <f>#REF!*"GqN!6C"</f>
        <v>#REF!</v>
      </c>
      <c r="CT6" t="e">
        <f>#REF!*"GqN!6D"</f>
        <v>#REF!</v>
      </c>
      <c r="CU6" t="e">
        <f>#REF!*"GqN!6E"</f>
        <v>#REF!</v>
      </c>
      <c r="CV6" t="e">
        <f>#REF!*"GqN!6F"</f>
        <v>#REF!</v>
      </c>
      <c r="CW6" t="e">
        <f>#REF!*"GqN!6G"</f>
        <v>#REF!</v>
      </c>
      <c r="CX6" t="e">
        <f>#REF!*"GqN!6H"</f>
        <v>#REF!</v>
      </c>
      <c r="CY6" t="e">
        <f>#REF!*"GqN!6I"</f>
        <v>#REF!</v>
      </c>
      <c r="CZ6" t="e">
        <f>#REF!*"GqN!6J"</f>
        <v>#REF!</v>
      </c>
      <c r="DA6" t="e">
        <f>#REF!*"GqN!6K"</f>
        <v>#REF!</v>
      </c>
      <c r="DB6" t="e">
        <f>#REF!*"GqN!6L"</f>
        <v>#REF!</v>
      </c>
      <c r="DC6" t="e">
        <f>#REF!*"GqN!6M"</f>
        <v>#REF!</v>
      </c>
      <c r="DD6" t="e">
        <f>#REF!*"GqN!6N"</f>
        <v>#REF!</v>
      </c>
      <c r="DE6" t="e">
        <f>#REF!*"GqN!6O"</f>
        <v>#REF!</v>
      </c>
      <c r="DF6" t="e">
        <f>#REF!*"GqN!6P"</f>
        <v>#REF!</v>
      </c>
      <c r="DG6" t="e">
        <f>#REF!*"GqN!6Q"</f>
        <v>#REF!</v>
      </c>
      <c r="DH6" t="e">
        <f>#REF!*"GqN!6R"</f>
        <v>#REF!</v>
      </c>
      <c r="DI6" t="e">
        <f>#REF!*"GqN!6S"</f>
        <v>#REF!</v>
      </c>
      <c r="DJ6" t="e">
        <f>#REF!*"GqN!6T"</f>
        <v>#REF!</v>
      </c>
      <c r="DK6" t="e">
        <f>#REF!*"GqN!6U"</f>
        <v>#REF!</v>
      </c>
      <c r="DL6" t="e">
        <f>#REF!*"GqN!6V"</f>
        <v>#REF!</v>
      </c>
      <c r="DM6" t="e">
        <f>#REF!*"GqN!6W"</f>
        <v>#REF!</v>
      </c>
      <c r="DN6" t="e">
        <f>#REF!*"GqN!6X"</f>
        <v>#REF!</v>
      </c>
      <c r="DO6" t="e">
        <f>#REF!*"GqN!6Y"</f>
        <v>#REF!</v>
      </c>
      <c r="DP6" t="e">
        <f>#REF!*"GqN!6Z"</f>
        <v>#REF!</v>
      </c>
      <c r="DQ6" t="e">
        <f>#REF!*"GqN!6["</f>
        <v>#REF!</v>
      </c>
      <c r="DR6" t="e">
        <f>#REF!*"GqN!6\"</f>
        <v>#REF!</v>
      </c>
      <c r="DS6" t="e">
        <f>#REF!*"GqN!6]"</f>
        <v>#REF!</v>
      </c>
      <c r="DT6" t="e">
        <f>#REF!*"GqN!6^"</f>
        <v>#REF!</v>
      </c>
      <c r="DU6" t="e">
        <f>#REF!*"GqN!6_"</f>
        <v>#REF!</v>
      </c>
      <c r="DV6" t="e">
        <f>#REF!*"GqN!6`"</f>
        <v>#REF!</v>
      </c>
      <c r="DW6" t="e">
        <f>#REF!*"GqN!6a"</f>
        <v>#REF!</v>
      </c>
      <c r="DX6" t="e">
        <f>#REF!*"GqN!6b"</f>
        <v>#REF!</v>
      </c>
      <c r="DY6" t="e">
        <f>#REF!*"GqN!6c"</f>
        <v>#REF!</v>
      </c>
      <c r="DZ6" t="e">
        <f>#REF!*"GqN!6d"</f>
        <v>#REF!</v>
      </c>
      <c r="EA6" t="e">
        <f>#REF!*"GqN!6e"</f>
        <v>#REF!</v>
      </c>
      <c r="EB6" t="e">
        <f>#REF!*"GqN!6f"</f>
        <v>#REF!</v>
      </c>
      <c r="EC6" t="e">
        <f>#REF!-"GqN!6g"</f>
        <v>#REF!</v>
      </c>
      <c r="ED6" t="e">
        <f>#REF!-"GqN!6h"</f>
        <v>#REF!</v>
      </c>
      <c r="EE6" t="e">
        <f>#REF!-"GqN!6i"</f>
        <v>#REF!</v>
      </c>
      <c r="EF6" t="e">
        <f>#REF!-"GqN!6j"</f>
        <v>#REF!</v>
      </c>
      <c r="EG6" t="e">
        <f>#REF!-"GqN!6k"</f>
        <v>#REF!</v>
      </c>
      <c r="EH6" t="e">
        <f>#REF!-"GqN!6l"</f>
        <v>#REF!</v>
      </c>
      <c r="EI6" t="e">
        <f>#REF!-"GqN!6m"</f>
        <v>#REF!</v>
      </c>
      <c r="EJ6" t="e">
        <f>#REF!-"GqN!6n"</f>
        <v>#REF!</v>
      </c>
      <c r="EK6" t="e">
        <f>#REF!-"GqN!6o"</f>
        <v>#REF!</v>
      </c>
      <c r="EL6" t="e">
        <f>#REF!-"GqN!6p"</f>
        <v>#REF!</v>
      </c>
      <c r="EM6" t="e">
        <f>#REF!-"GqN!6q"</f>
        <v>#REF!</v>
      </c>
      <c r="EN6" t="e">
        <f>#REF!-"GqN!6r"</f>
        <v>#REF!</v>
      </c>
      <c r="EO6" t="e">
        <f>#REF!-"GqN!6s"</f>
        <v>#REF!</v>
      </c>
      <c r="EP6" t="e">
        <f>#REF!-"GqN!6t"</f>
        <v>#REF!</v>
      </c>
      <c r="EQ6" t="e">
        <f>#REF!-"GqN!6u"</f>
        <v>#REF!</v>
      </c>
      <c r="ER6" t="e">
        <f>#REF!-"GqN!6v"</f>
        <v>#REF!</v>
      </c>
      <c r="ES6" t="e">
        <f>#REF!-"GqN!6w"</f>
        <v>#REF!</v>
      </c>
      <c r="ET6" t="e">
        <f>#REF!-"GqN!6x"</f>
        <v>#REF!</v>
      </c>
      <c r="EU6" t="e">
        <f>#REF!-"GqN!6y"</f>
        <v>#REF!</v>
      </c>
      <c r="EV6" t="e">
        <f>#REF!-"GqN!6z"</f>
        <v>#REF!</v>
      </c>
      <c r="EW6" t="e">
        <f>#REF!-"GqN!6{"</f>
        <v>#REF!</v>
      </c>
      <c r="EX6" t="e">
        <f>#REF!-"GqN!6|"</f>
        <v>#REF!</v>
      </c>
      <c r="EY6" t="e">
        <f>#REF!-"GqN!6}"</f>
        <v>#REF!</v>
      </c>
      <c r="EZ6" t="e">
        <f>#REF!-"GqN!6~"</f>
        <v>#REF!</v>
      </c>
      <c r="FA6" t="e">
        <f>#REF!-"GqN!7#"</f>
        <v>#REF!</v>
      </c>
      <c r="FB6" t="e">
        <f>#REF!-"GqN!7$"</f>
        <v>#REF!</v>
      </c>
      <c r="FC6" t="e">
        <f>#REF!-"GqN!7%"</f>
        <v>#REF!</v>
      </c>
      <c r="FD6" t="e">
        <f>#REF!-"GqN!7&amp;"</f>
        <v>#REF!</v>
      </c>
      <c r="FE6" t="e">
        <f>#REF!-"GqN!7'"</f>
        <v>#REF!</v>
      </c>
      <c r="FF6" t="e">
        <f>#REF!-"GqN!7("</f>
        <v>#REF!</v>
      </c>
      <c r="FG6" t="e">
        <f>#REF!-"GqN!7)"</f>
        <v>#REF!</v>
      </c>
      <c r="FH6" t="e">
        <f>#REF!-"GqN!7."</f>
        <v>#REF!</v>
      </c>
      <c r="FI6" t="e">
        <f>#REF!-"GqN!7/"</f>
        <v>#REF!</v>
      </c>
      <c r="FJ6" t="e">
        <f>#REF!-"GqN!70"</f>
        <v>#REF!</v>
      </c>
      <c r="FK6" t="e">
        <f>#REF!-"GqN!71"</f>
        <v>#REF!</v>
      </c>
      <c r="FL6" t="e">
        <f>#REF!-"GqN!72"</f>
        <v>#REF!</v>
      </c>
      <c r="FM6" t="e">
        <f>#REF!-"GqN!73"</f>
        <v>#REF!</v>
      </c>
      <c r="FN6" t="e">
        <f>#REF!-"GqN!74"</f>
        <v>#REF!</v>
      </c>
      <c r="FO6" t="e">
        <f>#REF!-"GqN!75"</f>
        <v>#REF!</v>
      </c>
      <c r="FP6" t="e">
        <f>#REF!-"GqN!76"</f>
        <v>#REF!</v>
      </c>
      <c r="FQ6" t="e">
        <f>#REF!-"GqN!77"</f>
        <v>#REF!</v>
      </c>
      <c r="FR6" t="e">
        <f>#REF!-"GqN!78"</f>
        <v>#REF!</v>
      </c>
      <c r="FS6" t="e">
        <f>#REF!-"GqN!79"</f>
        <v>#REF!</v>
      </c>
      <c r="FT6" t="e">
        <f>#REF!-"GqN!7:"</f>
        <v>#REF!</v>
      </c>
      <c r="FU6" t="e">
        <f>#REF!-"GqN!7;"</f>
        <v>#REF!</v>
      </c>
      <c r="FV6" t="e">
        <f>#REF!-"GqN!7&lt;"</f>
        <v>#REF!</v>
      </c>
      <c r="FW6" t="e">
        <f>#REF!-"GqN!7="</f>
        <v>#REF!</v>
      </c>
      <c r="FX6" t="e">
        <f>#REF!-"GqN!7&gt;"</f>
        <v>#REF!</v>
      </c>
      <c r="FY6" t="e">
        <f>#REF!-"GqN!7?"</f>
        <v>#REF!</v>
      </c>
      <c r="FZ6" t="e">
        <f>#REF!-"GqN!7@"</f>
        <v>#REF!</v>
      </c>
      <c r="GA6" t="e">
        <f>#REF!-"GqN!7A"</f>
        <v>#REF!</v>
      </c>
      <c r="GB6" t="e">
        <f>#REF!-"GqN!7B"</f>
        <v>#REF!</v>
      </c>
      <c r="GC6" t="e">
        <f>#REF!-"GqN!7C"</f>
        <v>#REF!</v>
      </c>
      <c r="GD6" t="e">
        <f>#REF!-"GqN!7D"</f>
        <v>#REF!</v>
      </c>
      <c r="GE6" t="e">
        <f>#REF!-"GqN!7E"</f>
        <v>#REF!</v>
      </c>
      <c r="GF6" t="e">
        <f>#REF!-"GqN!7F"</f>
        <v>#REF!</v>
      </c>
      <c r="GG6" t="e">
        <f>#REF!-"GqN!7G"</f>
        <v>#REF!</v>
      </c>
      <c r="GH6" t="e">
        <f>#REF!-"GqN!7H"</f>
        <v>#REF!</v>
      </c>
      <c r="GI6" t="e">
        <f>#REF!-"GqN!7I"</f>
        <v>#REF!</v>
      </c>
      <c r="GJ6" t="e">
        <f>#REF!-"GqN!7J"</f>
        <v>#REF!</v>
      </c>
      <c r="GK6" t="e">
        <f>#REF!-"GqN!7K"</f>
        <v>#REF!</v>
      </c>
      <c r="GL6" t="e">
        <f>#REF!-"GqN!7L"</f>
        <v>#REF!</v>
      </c>
      <c r="GM6" t="e">
        <f>#REF!-"GqN!7M"</f>
        <v>#REF!</v>
      </c>
      <c r="GN6" t="e">
        <f>#REF!-"GqN!7N"</f>
        <v>#REF!</v>
      </c>
      <c r="GO6" t="e">
        <f>#REF!-"GqN!7O"</f>
        <v>#REF!</v>
      </c>
      <c r="GP6" t="e">
        <f>#REF!-"GqN!7P"</f>
        <v>#REF!</v>
      </c>
      <c r="GQ6" t="e">
        <f>#REF!-"GqN!7Q"</f>
        <v>#REF!</v>
      </c>
      <c r="GR6" t="e">
        <f>#REF!-"GqN!7R"</f>
        <v>#REF!</v>
      </c>
      <c r="GS6" t="e">
        <f>#REF!-"GqN!7S"</f>
        <v>#REF!</v>
      </c>
      <c r="GT6" t="e">
        <f>#REF!-"GqN!7T"</f>
        <v>#REF!</v>
      </c>
      <c r="GU6" t="e">
        <f>#REF!-"GqN!7U"</f>
        <v>#REF!</v>
      </c>
      <c r="GV6" t="e">
        <f>#REF!-"GqN!7V"</f>
        <v>#REF!</v>
      </c>
      <c r="GW6" t="e">
        <f>#REF!-"GqN!7W"</f>
        <v>#REF!</v>
      </c>
      <c r="GX6" t="e">
        <f>#REF!-"GqN!7X"</f>
        <v>#REF!</v>
      </c>
      <c r="GY6" t="e">
        <f>#REF!-"GqN!7Y"</f>
        <v>#REF!</v>
      </c>
      <c r="GZ6" t="e">
        <f>#REF!-"GqN!7Z"</f>
        <v>#REF!</v>
      </c>
      <c r="HA6" t="e">
        <f>#REF!-"GqN!7["</f>
        <v>#REF!</v>
      </c>
      <c r="HB6" t="e">
        <f>#REF!-"GqN!7\"</f>
        <v>#REF!</v>
      </c>
      <c r="HC6" t="e">
        <f>#REF!-"GqN!7]"</f>
        <v>#REF!</v>
      </c>
      <c r="HD6" t="e">
        <f>#REF!-"GqN!7^"</f>
        <v>#REF!</v>
      </c>
      <c r="HE6" t="e">
        <f>#REF!-"GqN!7_"</f>
        <v>#REF!</v>
      </c>
      <c r="HF6" t="e">
        <f>#REF!-"GqN!7`"</f>
        <v>#REF!</v>
      </c>
      <c r="HG6" t="e">
        <f>#REF!-"GqN!7a"</f>
        <v>#REF!</v>
      </c>
      <c r="HH6" t="e">
        <f>#REF!-"GqN!7b"</f>
        <v>#REF!</v>
      </c>
      <c r="HI6" t="e">
        <f>#REF!-"GqN!7c"</f>
        <v>#REF!</v>
      </c>
      <c r="HJ6" t="e">
        <f>#REF!-"GqN!7d"</f>
        <v>#REF!</v>
      </c>
      <c r="HK6" t="e">
        <f>#REF!-"GqN!7e"</f>
        <v>#REF!</v>
      </c>
      <c r="HL6" t="e">
        <f>#REF!-"GqN!7f"</f>
        <v>#REF!</v>
      </c>
      <c r="HM6" t="e">
        <f>#REF!-"GqN!7g"</f>
        <v>#REF!</v>
      </c>
      <c r="HN6" t="e">
        <f>#REF!-"GqN!7h"</f>
        <v>#REF!</v>
      </c>
      <c r="HO6" t="e">
        <f>#REF!-"GqN!7i"</f>
        <v>#REF!</v>
      </c>
      <c r="HP6" t="e">
        <f>#REF!-"GqN!7j"</f>
        <v>#REF!</v>
      </c>
      <c r="HQ6" t="e">
        <f>#REF!-"GqN!7k"</f>
        <v>#REF!</v>
      </c>
      <c r="HR6" t="e">
        <f>#REF!-"GqN!7l"</f>
        <v>#REF!</v>
      </c>
      <c r="HS6" t="e">
        <f>#REF!-"GqN!7m"</f>
        <v>#REF!</v>
      </c>
      <c r="HT6" t="e">
        <f>#REF!-"GqN!7n"</f>
        <v>#REF!</v>
      </c>
      <c r="HU6" t="e">
        <f>#REF!-"GqN!7o"</f>
        <v>#REF!</v>
      </c>
      <c r="HV6" t="e">
        <f>#REF!-"GqN!7p"</f>
        <v>#REF!</v>
      </c>
      <c r="HW6" t="e">
        <f>#REF!-"GqN!7q"</f>
        <v>#REF!</v>
      </c>
      <c r="HX6" t="e">
        <f>#REF!-"GqN!7r"</f>
        <v>#REF!</v>
      </c>
      <c r="HY6" t="e">
        <f>#REF!-"GqN!7s"</f>
        <v>#REF!</v>
      </c>
      <c r="HZ6" t="e">
        <f>#REF!-"GqN!7t"</f>
        <v>#REF!</v>
      </c>
      <c r="IA6" t="e">
        <f>#REF!-"GqN!7u"</f>
        <v>#REF!</v>
      </c>
      <c r="IB6" t="e">
        <f>#REF!-"GqN!7v"</f>
        <v>#REF!</v>
      </c>
      <c r="IC6" t="e">
        <f>#REF!-"GqN!7w"</f>
        <v>#REF!</v>
      </c>
      <c r="ID6" t="e">
        <f>#REF!-"GqN!7x"</f>
        <v>#REF!</v>
      </c>
      <c r="IE6" t="e">
        <f>#REF!-"GqN!7y"</f>
        <v>#REF!</v>
      </c>
      <c r="IF6" t="e">
        <f>#REF!-"GqN!7z"</f>
        <v>#REF!</v>
      </c>
      <c r="IG6" t="e">
        <f>#REF!-"GqN!7{"</f>
        <v>#REF!</v>
      </c>
      <c r="IH6" t="e">
        <f>#REF!-"GqN!7|"</f>
        <v>#REF!</v>
      </c>
      <c r="II6" t="e">
        <f>#REF!-"GqN!7}"</f>
        <v>#REF!</v>
      </c>
      <c r="IJ6" t="e">
        <f>#REF!-"GqN!7~"</f>
        <v>#REF!</v>
      </c>
      <c r="IK6" t="e">
        <f>#REF!-"GqN!8#"</f>
        <v>#REF!</v>
      </c>
      <c r="IL6" t="e">
        <f>#REF!-"GqN!8$"</f>
        <v>#REF!</v>
      </c>
      <c r="IM6" t="e">
        <f>#REF!-"GqN!8%"</f>
        <v>#REF!</v>
      </c>
      <c r="IN6" t="e">
        <f>#REF!-"GqN!8&amp;"</f>
        <v>#REF!</v>
      </c>
      <c r="IO6" t="e">
        <f>#REF!-"GqN!8'"</f>
        <v>#REF!</v>
      </c>
      <c r="IP6" t="e">
        <f>#REF!-"GqN!8("</f>
        <v>#REF!</v>
      </c>
      <c r="IQ6" t="e">
        <f>#REF!-"GqN!8)"</f>
        <v>#REF!</v>
      </c>
      <c r="IR6" t="e">
        <f>#REF!-"GqN!8."</f>
        <v>#REF!</v>
      </c>
      <c r="IS6" t="e">
        <f>#REF!-"GqN!8/"</f>
        <v>#REF!</v>
      </c>
      <c r="IT6" t="e">
        <f>#REF!-"GqN!80"</f>
        <v>#REF!</v>
      </c>
      <c r="IU6" t="e">
        <f>#REF!-"GqN!81"</f>
        <v>#REF!</v>
      </c>
      <c r="IV6" t="e">
        <f>#REF!-"GqN!82"</f>
        <v>#REF!</v>
      </c>
    </row>
    <row r="7" spans="1:256">
      <c r="F7" t="e">
        <f>#REF!-"GqN!83"</f>
        <v>#REF!</v>
      </c>
      <c r="G7" t="e">
        <f>#REF!-"GqN!84"</f>
        <v>#REF!</v>
      </c>
      <c r="H7" t="e">
        <f>#REF!-"GqN!85"</f>
        <v>#REF!</v>
      </c>
      <c r="I7" t="e">
        <f>#REF!-"GqN!86"</f>
        <v>#REF!</v>
      </c>
      <c r="J7" t="e">
        <f>#REF!-"GqN!87"</f>
        <v>#REF!</v>
      </c>
      <c r="K7" t="e">
        <f>#REF!-"GqN!88"</f>
        <v>#REF!</v>
      </c>
      <c r="L7" t="e">
        <f>#REF!-"GqN!89"</f>
        <v>#REF!</v>
      </c>
      <c r="M7" t="e">
        <f>#REF!-"GqN!8:"</f>
        <v>#REF!</v>
      </c>
      <c r="N7" t="e">
        <f>#REF!-"GqN!8;"</f>
        <v>#REF!</v>
      </c>
      <c r="O7" t="e">
        <f>#REF!-"GqN!8&lt;"</f>
        <v>#REF!</v>
      </c>
      <c r="P7" t="e">
        <f>#REF!-"GqN!8="</f>
        <v>#REF!</v>
      </c>
      <c r="Q7" t="e">
        <f>#REF!-"GqN!8&gt;"</f>
        <v>#REF!</v>
      </c>
      <c r="R7" t="e">
        <f>#REF!-"GqN!8?"</f>
        <v>#REF!</v>
      </c>
      <c r="S7" t="e">
        <f>#REF!-"GqN!8@"</f>
        <v>#REF!</v>
      </c>
      <c r="T7" t="e">
        <f>#REF!-"GqN!8A"</f>
        <v>#REF!</v>
      </c>
      <c r="U7" t="e">
        <f>#REF!-"GqN!8B"</f>
        <v>#REF!</v>
      </c>
      <c r="V7" t="e">
        <f>#REF!-"GqN!8C"</f>
        <v>#REF!</v>
      </c>
      <c r="W7" t="e">
        <f>#REF!-"GqN!8D"</f>
        <v>#REF!</v>
      </c>
      <c r="X7" t="e">
        <f>#REF!-"GqN!8E"</f>
        <v>#REF!</v>
      </c>
      <c r="Y7" t="e">
        <f>#REF!-"GqN!8F"</f>
        <v>#REF!</v>
      </c>
      <c r="Z7" t="e">
        <f>#REF!-"GqN!8G"</f>
        <v>#REF!</v>
      </c>
      <c r="AA7" t="e">
        <f>#REF!-"GqN!8H"</f>
        <v>#REF!</v>
      </c>
      <c r="AB7" t="e">
        <f>#REF!-"GqN!8I"</f>
        <v>#REF!</v>
      </c>
      <c r="AC7" t="e">
        <f>#REF!-"GqN!8J"</f>
        <v>#REF!</v>
      </c>
      <c r="AD7" t="e">
        <f>#REF!-"GqN!8K"</f>
        <v>#REF!</v>
      </c>
      <c r="AE7" t="e">
        <f>#REF!-"GqN!8L"</f>
        <v>#REF!</v>
      </c>
      <c r="AF7" t="e">
        <f>#REF!-"GqN!8M"</f>
        <v>#REF!</v>
      </c>
      <c r="AG7" t="e">
        <f>#REF!-"GqN!8N"</f>
        <v>#REF!</v>
      </c>
      <c r="AH7" t="e">
        <f>#REF!-"GqN!8O"</f>
        <v>#REF!</v>
      </c>
      <c r="AI7" t="e">
        <f>#REF!-"GqN!8P"</f>
        <v>#REF!</v>
      </c>
      <c r="AJ7" t="e">
        <f>#REF!-"GqN!8Q"</f>
        <v>#REF!</v>
      </c>
      <c r="AK7" t="e">
        <f>#REF!-"GqN!8R"</f>
        <v>#REF!</v>
      </c>
      <c r="AL7" t="e">
        <f>#REF!-"GqN!8S"</f>
        <v>#REF!</v>
      </c>
      <c r="AM7" t="e">
        <f>#REF!-"GqN!8T"</f>
        <v>#REF!</v>
      </c>
      <c r="AN7" t="e">
        <f>#REF!-"GqN!8U"</f>
        <v>#REF!</v>
      </c>
      <c r="AO7" t="e">
        <f>#REF!-"GqN!8V"</f>
        <v>#REF!</v>
      </c>
      <c r="AP7" t="e">
        <f>#REF!-"GqN!8W"</f>
        <v>#REF!</v>
      </c>
      <c r="AQ7" t="e">
        <f>#REF!-"GqN!8X"</f>
        <v>#REF!</v>
      </c>
      <c r="AR7" t="e">
        <f>#REF!-"GqN!8Y"</f>
        <v>#REF!</v>
      </c>
      <c r="AS7" t="e">
        <f>#REF!-"GqN!8Z"</f>
        <v>#REF!</v>
      </c>
      <c r="AT7" t="e">
        <f>#REF!-"GqN!8["</f>
        <v>#REF!</v>
      </c>
      <c r="AU7" t="e">
        <f>#REF!-"GqN!8\"</f>
        <v>#REF!</v>
      </c>
      <c r="AV7" t="e">
        <f>#REF!-"GqN!8]"</f>
        <v>#REF!</v>
      </c>
      <c r="AW7" t="e">
        <f>#REF!-"GqN!8^"</f>
        <v>#REF!</v>
      </c>
      <c r="AX7" t="e">
        <f>#REF!-"GqN!8_"</f>
        <v>#REF!</v>
      </c>
      <c r="AY7" t="e">
        <f>#REF!-"GqN!8`"</f>
        <v>#REF!</v>
      </c>
      <c r="AZ7" t="e">
        <f>#REF!-"GqN!8a"</f>
        <v>#REF!</v>
      </c>
      <c r="BA7" t="e">
        <f>#REF!-"GqN!8b"</f>
        <v>#REF!</v>
      </c>
      <c r="BB7" t="e">
        <f>#REF!-"GqN!8c"</f>
        <v>#REF!</v>
      </c>
      <c r="BC7" t="e">
        <f>#REF!-"GqN!8d"</f>
        <v>#REF!</v>
      </c>
      <c r="BD7" t="e">
        <f>#REF!-"GqN!8e"</f>
        <v>#REF!</v>
      </c>
      <c r="BE7" t="e">
        <f>#REF!-"GqN!8f"</f>
        <v>#REF!</v>
      </c>
      <c r="BF7" t="e">
        <f>#REF!-"GqN!8g"</f>
        <v>#REF!</v>
      </c>
      <c r="BG7" t="e">
        <f>#REF!-"GqN!8h"</f>
        <v>#REF!</v>
      </c>
      <c r="BH7" t="e">
        <f>#REF!-"GqN!8i"</f>
        <v>#REF!</v>
      </c>
      <c r="BI7" t="e">
        <f>#REF!-"GqN!8j"</f>
        <v>#REF!</v>
      </c>
      <c r="BJ7" t="e">
        <f>#REF!-"GqN!8k"</f>
        <v>#REF!</v>
      </c>
      <c r="BK7" t="e">
        <f>#REF!-"GqN!8l"</f>
        <v>#REF!</v>
      </c>
      <c r="BL7" t="e">
        <f>#REF!-"GqN!8m"</f>
        <v>#REF!</v>
      </c>
      <c r="BM7" t="e">
        <f>#REF!-"GqN!8n"</f>
        <v>#REF!</v>
      </c>
      <c r="BN7" t="e">
        <f>#REF!-"GqN!8o"</f>
        <v>#REF!</v>
      </c>
      <c r="BO7" t="e">
        <f>#REF!-"GqN!8p"</f>
        <v>#REF!</v>
      </c>
      <c r="BP7" t="e">
        <f>#REF!-"GqN!8q"</f>
        <v>#REF!</v>
      </c>
      <c r="BQ7" t="e">
        <f>#REF!-"GqN!8r"</f>
        <v>#REF!</v>
      </c>
      <c r="BR7" t="e">
        <f>#REF!-"GqN!8s"</f>
        <v>#REF!</v>
      </c>
      <c r="BS7" t="e">
        <f>#REF!-"GqN!8t"</f>
        <v>#REF!</v>
      </c>
      <c r="BT7" t="e">
        <f>#REF!-"GqN!8u"</f>
        <v>#REF!</v>
      </c>
      <c r="BU7" t="e">
        <f>#REF!-"GqN!8v"</f>
        <v>#REF!</v>
      </c>
      <c r="BV7" t="e">
        <f>#REF!-"GqN!8w"</f>
        <v>#REF!</v>
      </c>
      <c r="BW7" t="e">
        <f>#REF!-"GqN!8x"</f>
        <v>#REF!</v>
      </c>
      <c r="BX7" t="e">
        <f>#REF!-"GqN!8y"</f>
        <v>#REF!</v>
      </c>
      <c r="BY7" t="e">
        <f>#REF!-"GqN!8z"</f>
        <v>#REF!</v>
      </c>
      <c r="BZ7" t="e">
        <f>#REF!-"GqN!8{"</f>
        <v>#REF!</v>
      </c>
      <c r="CA7" t="e">
        <f>#REF!-"GqN!8|"</f>
        <v>#REF!</v>
      </c>
      <c r="CB7" t="e">
        <f>#REF!-"GqN!8}"</f>
        <v>#REF!</v>
      </c>
      <c r="CC7" t="e">
        <f>#REF!-"GqN!8~"</f>
        <v>#REF!</v>
      </c>
      <c r="CD7" t="e">
        <f>#REF!-"GqN!9#"</f>
        <v>#REF!</v>
      </c>
      <c r="CE7" t="e">
        <f>#REF!-"GqN!9$"</f>
        <v>#REF!</v>
      </c>
      <c r="CF7" t="e">
        <f>#REF!-"GqN!9%"</f>
        <v>#REF!</v>
      </c>
      <c r="CG7" t="e">
        <f>#REF!-"GqN!9&amp;"</f>
        <v>#REF!</v>
      </c>
      <c r="CH7" t="e">
        <f>#REF!-"GqN!9'"</f>
        <v>#REF!</v>
      </c>
      <c r="CI7" t="e">
        <f>#REF!-"GqN!9("</f>
        <v>#REF!</v>
      </c>
      <c r="CJ7" t="e">
        <f>#REF!-"GqN!9)"</f>
        <v>#REF!</v>
      </c>
      <c r="CK7" t="e">
        <f>#REF!-"GqN!9."</f>
        <v>#REF!</v>
      </c>
      <c r="CL7" t="e">
        <f>#REF!-"GqN!9/"</f>
        <v>#REF!</v>
      </c>
      <c r="CM7" t="e">
        <f>#REF!-"GqN!90"</f>
        <v>#REF!</v>
      </c>
      <c r="CN7" t="e">
        <f>#REF!-"GqN!91"</f>
        <v>#REF!</v>
      </c>
      <c r="CO7" t="e">
        <f>#REF!-"GqN!92"</f>
        <v>#REF!</v>
      </c>
      <c r="CP7" t="e">
        <f>#REF!+"GqN!93"</f>
        <v>#REF!</v>
      </c>
      <c r="CQ7" t="e">
        <f>#REF!+"GqN!94"</f>
        <v>#REF!</v>
      </c>
      <c r="CR7" t="e">
        <f>#REF!+"GqN!95"</f>
        <v>#REF!</v>
      </c>
      <c r="CS7" t="e">
        <f>#REF!+"GqN!96"</f>
        <v>#REF!</v>
      </c>
      <c r="CT7" t="e">
        <f>#REF!+"GqN!97"</f>
        <v>#REF!</v>
      </c>
      <c r="CU7" t="e">
        <f>#REF!+"GqN!98"</f>
        <v>#REF!</v>
      </c>
      <c r="CV7" t="e">
        <f>#REF!+"GqN!99"</f>
        <v>#REF!</v>
      </c>
      <c r="CW7" t="e">
        <f>#REF!+"GqN!9:"</f>
        <v>#REF!</v>
      </c>
      <c r="CX7" t="e">
        <f>#REF!+"GqN!9;"</f>
        <v>#REF!</v>
      </c>
      <c r="CY7" t="e">
        <f>#REF!+"GqN!9&lt;"</f>
        <v>#REF!</v>
      </c>
      <c r="CZ7" t="e">
        <f>#REF!+"GqN!9="</f>
        <v>#REF!</v>
      </c>
      <c r="DA7" t="e">
        <f>#REF!+"GqN!9&gt;"</f>
        <v>#REF!</v>
      </c>
      <c r="DB7" t="e">
        <f>#REF!+"GqN!9?"</f>
        <v>#REF!</v>
      </c>
      <c r="DC7" t="e">
        <f>#REF!+"GqN!9@"</f>
        <v>#REF!</v>
      </c>
      <c r="DD7" t="e">
        <f>#REF!+"GqN!9A"</f>
        <v>#REF!</v>
      </c>
      <c r="DE7" t="e">
        <f>#REF!+"GqN!9B"</f>
        <v>#REF!</v>
      </c>
      <c r="DF7" t="e">
        <f>#REF!+"GqN!9C"</f>
        <v>#REF!</v>
      </c>
      <c r="DG7" t="e">
        <f>#REF!+"GqN!9D"</f>
        <v>#REF!</v>
      </c>
      <c r="DH7" t="e">
        <f>#REF!+"GqN!9E"</f>
        <v>#REF!</v>
      </c>
      <c r="DI7" t="e">
        <f>#REF!+"GqN!9F"</f>
        <v>#REF!</v>
      </c>
      <c r="DJ7" t="e">
        <f>#REF!+"GqN!9G"</f>
        <v>#REF!</v>
      </c>
      <c r="DK7" t="e">
        <f>#REF!+"GqN!9H"</f>
        <v>#REF!</v>
      </c>
      <c r="DL7" t="e">
        <f>#REF!+"GqN!9I"</f>
        <v>#REF!</v>
      </c>
      <c r="DM7" t="e">
        <f>#REF!+"GqN!9J"</f>
        <v>#REF!</v>
      </c>
      <c r="DN7" t="e">
        <f>#REF!+"GqN!9K"</f>
        <v>#REF!</v>
      </c>
      <c r="DO7" t="e">
        <f>#REF!+"GqN!9L"</f>
        <v>#REF!</v>
      </c>
      <c r="DP7" t="e">
        <f>#REF!+"GqN!9M"</f>
        <v>#REF!</v>
      </c>
      <c r="DQ7" t="e">
        <f>#REF!+"GqN!9N"</f>
        <v>#REF!</v>
      </c>
      <c r="DR7" t="e">
        <f>#REF!+"GqN!9O"</f>
        <v>#REF!</v>
      </c>
      <c r="DS7" t="e">
        <f>#REF!+"GqN!9P"</f>
        <v>#REF!</v>
      </c>
      <c r="DT7" t="e">
        <f>#REF!+"GqN!9Q"</f>
        <v>#REF!</v>
      </c>
      <c r="DU7" t="e">
        <f>#REF!+"GqN!9R"</f>
        <v>#REF!</v>
      </c>
      <c r="DV7" t="e">
        <f>#REF!+"GqN!9S"</f>
        <v>#REF!</v>
      </c>
      <c r="DW7" t="e">
        <f>#REF!+"GqN!9T"</f>
        <v>#REF!</v>
      </c>
      <c r="DX7" t="e">
        <f>#REF!+"GqN!9U"</f>
        <v>#REF!</v>
      </c>
      <c r="DY7" t="e">
        <f>#REF!+"GqN!9V"</f>
        <v>#REF!</v>
      </c>
      <c r="DZ7" t="e">
        <f>#REF!+"GqN!9W"</f>
        <v>#REF!</v>
      </c>
      <c r="EA7" t="e">
        <f>#REF!+"GqN!9X"</f>
        <v>#REF!</v>
      </c>
      <c r="EB7" t="e">
        <f>#REF!+"GqN!9Y"</f>
        <v>#REF!</v>
      </c>
      <c r="EC7" t="e">
        <f>#REF!+"GqN!9Z"</f>
        <v>#REF!</v>
      </c>
      <c r="ED7" t="e">
        <f>#REF!+"GqN!9["</f>
        <v>#REF!</v>
      </c>
      <c r="EE7" t="e">
        <f>#REF!+"GqN!9\"</f>
        <v>#REF!</v>
      </c>
      <c r="EF7" t="e">
        <f>#REF!+"GqN!9]"</f>
        <v>#REF!</v>
      </c>
      <c r="EG7" t="e">
        <f>#REF!+"GqN!9^"</f>
        <v>#REF!</v>
      </c>
      <c r="EH7" t="e">
        <f>#REF!+"GqN!9_"</f>
        <v>#REF!</v>
      </c>
      <c r="EI7" t="e">
        <f>#REF!+"GqN!9`"</f>
        <v>#REF!</v>
      </c>
      <c r="EJ7" t="e">
        <f>#REF!+"GqN!9a"</f>
        <v>#REF!</v>
      </c>
      <c r="EK7" t="e">
        <f>#REF!+"GqN!9b"</f>
        <v>#REF!</v>
      </c>
      <c r="EL7" t="e">
        <f>#REF!+"GqN!9c"</f>
        <v>#REF!</v>
      </c>
      <c r="EM7" t="e">
        <f>#REF!+"GqN!9d"</f>
        <v>#REF!</v>
      </c>
      <c r="EN7" t="e">
        <f>#REF!+"GqN!9e"</f>
        <v>#REF!</v>
      </c>
      <c r="EO7" t="e">
        <f>#REF!+"GqN!9f"</f>
        <v>#REF!</v>
      </c>
      <c r="EP7" t="e">
        <f>#REF!+"GqN!9g"</f>
        <v>#REF!</v>
      </c>
      <c r="EQ7" t="e">
        <f>#REF!*"GqN!9h"</f>
        <v>#REF!</v>
      </c>
      <c r="ER7" t="e">
        <f>#REF!*"GqN!9i"</f>
        <v>#REF!</v>
      </c>
      <c r="ES7" t="e">
        <f>#REF!*"GqN!9j"</f>
        <v>#REF!</v>
      </c>
      <c r="ET7" t="e">
        <f>#REF!*"GqN!9k"</f>
        <v>#REF!</v>
      </c>
      <c r="EU7" t="e">
        <f>#REF!*"GqN!9l"</f>
        <v>#REF!</v>
      </c>
      <c r="EV7" t="e">
        <f>#REF!*"GqN!9m"</f>
        <v>#REF!</v>
      </c>
      <c r="EW7" t="e">
        <f>#REF!*"GqN!9n"</f>
        <v>#REF!</v>
      </c>
      <c r="EX7" t="e">
        <f>#REF!*"GqN!9o"</f>
        <v>#REF!</v>
      </c>
      <c r="EY7" t="e">
        <f>#REF!*"GqN!9p"</f>
        <v>#REF!</v>
      </c>
      <c r="EZ7" t="e">
        <f>#REF!*"GqN!9q"</f>
        <v>#REF!</v>
      </c>
      <c r="FA7" t="e">
        <f>#REF!*"GqN!9r"</f>
        <v>#REF!</v>
      </c>
      <c r="FB7" t="e">
        <f>#REF!*"GqN!9s"</f>
        <v>#REF!</v>
      </c>
      <c r="FC7" t="e">
        <f>#REF!*"GqN!9t"</f>
        <v>#REF!</v>
      </c>
      <c r="FD7" t="e">
        <f>#REF!*"GqN!9u"</f>
        <v>#REF!</v>
      </c>
      <c r="FE7" t="e">
        <f>#REF!*"GqN!9v"</f>
        <v>#REF!</v>
      </c>
      <c r="FF7" t="e">
        <f>#REF!*"GqN!9w"</f>
        <v>#REF!</v>
      </c>
      <c r="FG7" t="e">
        <f>#REF!*"GqN!9x"</f>
        <v>#REF!</v>
      </c>
      <c r="FH7" t="e">
        <f>#REF!*"GqN!9y"</f>
        <v>#REF!</v>
      </c>
      <c r="FI7" t="e">
        <f>#REF!*"GqN!9z"</f>
        <v>#REF!</v>
      </c>
      <c r="FJ7" t="e">
        <f>#REF!*"GqN!9{"</f>
        <v>#REF!</v>
      </c>
      <c r="FK7" t="e">
        <f>#REF!*"GqN!9|"</f>
        <v>#REF!</v>
      </c>
      <c r="FL7" t="e">
        <f>#REF!*"GqN!9}"</f>
        <v>#REF!</v>
      </c>
      <c r="FM7" t="e">
        <f>#REF!*"GqN!9~"</f>
        <v>#REF!</v>
      </c>
      <c r="FN7" t="e">
        <f>#REF!*"GqN!:#"</f>
        <v>#REF!</v>
      </c>
      <c r="FO7" t="e">
        <f>#REF!*"GqN!:$"</f>
        <v>#REF!</v>
      </c>
      <c r="FP7" t="e">
        <f>#REF!*"GqN!:%"</f>
        <v>#REF!</v>
      </c>
      <c r="FQ7" t="e">
        <f>#REF!*"GqN!:&amp;"</f>
        <v>#REF!</v>
      </c>
      <c r="FR7" t="e">
        <f>#REF!*"GqN!:'"</f>
        <v>#REF!</v>
      </c>
      <c r="FS7" t="e">
        <f>#REF!*"GqN!:("</f>
        <v>#REF!</v>
      </c>
      <c r="FT7" t="e">
        <f>#REF!*"GqN!:)"</f>
        <v>#REF!</v>
      </c>
      <c r="FU7" t="e">
        <f>#REF!*"GqN!:."</f>
        <v>#REF!</v>
      </c>
      <c r="FV7" t="e">
        <f>#REF!*"GqN!:/"</f>
        <v>#REF!</v>
      </c>
      <c r="FW7" t="e">
        <f>#REF!*"GqN!:0"</f>
        <v>#REF!</v>
      </c>
      <c r="FX7" t="e">
        <f>#REF!*"GqN!:1"</f>
        <v>#REF!</v>
      </c>
      <c r="FY7" t="e">
        <f>#REF!*"GqN!:2"</f>
        <v>#REF!</v>
      </c>
      <c r="FZ7" t="e">
        <f>#REF!*"GqN!:3"</f>
        <v>#REF!</v>
      </c>
      <c r="GA7" t="e">
        <f>#REF!*"GqN!:4"</f>
        <v>#REF!</v>
      </c>
      <c r="GB7" t="e">
        <f>#REF!*"GqN!:5"</f>
        <v>#REF!</v>
      </c>
      <c r="GC7" t="e">
        <f>#REF!*"GqN!:6"</f>
        <v>#REF!</v>
      </c>
      <c r="GD7" t="e">
        <f>#REF!*"GqN!:7"</f>
        <v>#REF!</v>
      </c>
      <c r="GE7" t="e">
        <f>#REF!*"GqN!:8"</f>
        <v>#REF!</v>
      </c>
      <c r="GF7" t="e">
        <f>#REF!*"GqN!:9"</f>
        <v>#REF!</v>
      </c>
      <c r="GG7" t="e">
        <f>#REF!*"GqN!::"</f>
        <v>#REF!</v>
      </c>
      <c r="GH7" t="e">
        <f>#REF!*"GqN!:;"</f>
        <v>#REF!</v>
      </c>
      <c r="GI7" t="e">
        <f>#REF!*"GqN!:&lt;"</f>
        <v>#REF!</v>
      </c>
      <c r="GJ7" t="e">
        <f>#REF!*"GqN!:="</f>
        <v>#REF!</v>
      </c>
      <c r="GK7" t="e">
        <f>#REF!*"GqN!:&gt;"</f>
        <v>#REF!</v>
      </c>
      <c r="GL7" t="e">
        <f>#REF!*"GqN!:?"</f>
        <v>#REF!</v>
      </c>
      <c r="GM7" t="e">
        <f>#REF!*"GqN!:@"</f>
        <v>#REF!</v>
      </c>
      <c r="GN7" t="e">
        <f>#REF!*"GqN!:A"</f>
        <v>#REF!</v>
      </c>
      <c r="GO7" t="e">
        <f>#REF!*"GqN!:B"</f>
        <v>#REF!</v>
      </c>
      <c r="GP7" t="e">
        <f>#REF!*"GqN!:C"</f>
        <v>#REF!</v>
      </c>
      <c r="GQ7" t="e">
        <f>#REF!*"GqN!:D"</f>
        <v>#REF!</v>
      </c>
      <c r="GR7" t="e">
        <f>#REF!*"GqN!:E"</f>
        <v>#REF!</v>
      </c>
      <c r="GS7" t="e">
        <f>#REF!*"GqN!:F"</f>
        <v>#REF!</v>
      </c>
      <c r="GT7" t="e">
        <f>#REF!*"GqN!:G"</f>
        <v>#REF!</v>
      </c>
      <c r="GU7" t="e">
        <f>#REF!*"GqN!:H"</f>
        <v>#REF!</v>
      </c>
      <c r="GV7" t="e">
        <f>#REF!*"GqN!:I"</f>
        <v>#REF!</v>
      </c>
      <c r="GW7" t="e">
        <f>#REF!-"GqN!:J"</f>
        <v>#REF!</v>
      </c>
      <c r="GX7" t="e">
        <f>#REF!-"GqN!:K"</f>
        <v>#REF!</v>
      </c>
      <c r="GY7" t="e">
        <f>#REF!-"GqN!:L"</f>
        <v>#REF!</v>
      </c>
      <c r="GZ7" t="e">
        <f>#REF!-"GqN!:M"</f>
        <v>#REF!</v>
      </c>
      <c r="HA7" t="e">
        <f>#REF!-"GqN!:N"</f>
        <v>#REF!</v>
      </c>
      <c r="HB7" t="e">
        <f>#REF!-"GqN!:O"</f>
        <v>#REF!</v>
      </c>
      <c r="HC7" t="e">
        <f>#REF!-"GqN!:P"</f>
        <v>#REF!</v>
      </c>
      <c r="HD7" t="e">
        <f>#REF!-"GqN!:Q"</f>
        <v>#REF!</v>
      </c>
      <c r="HE7" t="e">
        <f>#REF!-"GqN!:R"</f>
        <v>#REF!</v>
      </c>
      <c r="HF7" t="e">
        <f>#REF!-"GqN!:S"</f>
        <v>#REF!</v>
      </c>
      <c r="HG7" t="e">
        <f>#REF!-"GqN!:T"</f>
        <v>#REF!</v>
      </c>
      <c r="HH7" t="e">
        <f>#REF!-"GqN!:U"</f>
        <v>#REF!</v>
      </c>
      <c r="HI7" t="e">
        <f>#REF!-"GqN!:V"</f>
        <v>#REF!</v>
      </c>
      <c r="HJ7" t="e">
        <f>#REF!-"GqN!:W"</f>
        <v>#REF!</v>
      </c>
      <c r="HK7" t="e">
        <f>#REF!-"GqN!:X"</f>
        <v>#REF!</v>
      </c>
      <c r="HL7" t="e">
        <f>#REF!-"GqN!:Y"</f>
        <v>#REF!</v>
      </c>
      <c r="HM7" t="e">
        <f>#REF!-"GqN!:Z"</f>
        <v>#REF!</v>
      </c>
      <c r="HN7" t="e">
        <f>#REF!-"GqN!:["</f>
        <v>#REF!</v>
      </c>
      <c r="HO7" t="e">
        <f>#REF!-"GqN!:\"</f>
        <v>#REF!</v>
      </c>
      <c r="HP7" t="e">
        <f>#REF!-"GqN!:]"</f>
        <v>#REF!</v>
      </c>
      <c r="HQ7" t="e">
        <f>#REF!-"GqN!:^"</f>
        <v>#REF!</v>
      </c>
      <c r="HR7" t="e">
        <f>#REF!-"GqN!:_"</f>
        <v>#REF!</v>
      </c>
      <c r="HS7" t="e">
        <f>#REF!-"GqN!:`"</f>
        <v>#REF!</v>
      </c>
      <c r="HT7" t="e">
        <f>#REF!-"GqN!:a"</f>
        <v>#REF!</v>
      </c>
      <c r="HU7" t="e">
        <f>#REF!-"GqN!:b"</f>
        <v>#REF!</v>
      </c>
      <c r="HV7" t="e">
        <f>#REF!-"GqN!:c"</f>
        <v>#REF!</v>
      </c>
      <c r="HW7" t="e">
        <f>#REF!-"GqN!:d"</f>
        <v>#REF!</v>
      </c>
      <c r="HX7" t="e">
        <f>#REF!-"GqN!:e"</f>
        <v>#REF!</v>
      </c>
      <c r="HY7" t="e">
        <f>#REF!-"GqN!:f"</f>
        <v>#REF!</v>
      </c>
      <c r="HZ7" t="e">
        <f>#REF!-"GqN!:g"</f>
        <v>#REF!</v>
      </c>
      <c r="IA7" t="e">
        <f>#REF!-"GqN!:h"</f>
        <v>#REF!</v>
      </c>
      <c r="IB7" t="e">
        <f>#REF!-"GqN!:i"</f>
        <v>#REF!</v>
      </c>
      <c r="IC7" t="e">
        <f>#REF!-"GqN!:j"</f>
        <v>#REF!</v>
      </c>
      <c r="ID7" t="e">
        <f>#REF!-"GqN!:k"</f>
        <v>#REF!</v>
      </c>
      <c r="IE7" t="e">
        <f>#REF!-"GqN!:l"</f>
        <v>#REF!</v>
      </c>
      <c r="IF7" t="e">
        <f>#REF!-"GqN!:m"</f>
        <v>#REF!</v>
      </c>
      <c r="IG7" t="e">
        <f>#REF!-"GqN!:n"</f>
        <v>#REF!</v>
      </c>
      <c r="IH7" t="e">
        <f>#REF!-"GqN!:o"</f>
        <v>#REF!</v>
      </c>
      <c r="II7" t="e">
        <f>#REF!-"GqN!:p"</f>
        <v>#REF!</v>
      </c>
      <c r="IJ7" t="e">
        <f>#REF!-"GqN!:q"</f>
        <v>#REF!</v>
      </c>
      <c r="IK7" t="e">
        <f>#REF!-"GqN!:r"</f>
        <v>#REF!</v>
      </c>
      <c r="IL7" t="e">
        <f>#REF!-"GqN!:s"</f>
        <v>#REF!</v>
      </c>
      <c r="IM7" t="e">
        <f>#REF!-"GqN!:t"</f>
        <v>#REF!</v>
      </c>
      <c r="IN7" t="e">
        <f>#REF!-"GqN!:u"</f>
        <v>#REF!</v>
      </c>
      <c r="IO7" t="e">
        <f>#REF!-"GqN!:v"</f>
        <v>#REF!</v>
      </c>
      <c r="IP7" t="e">
        <f>#REF!-"GqN!:w"</f>
        <v>#REF!</v>
      </c>
      <c r="IQ7" t="e">
        <f>#REF!-"GqN!:x"</f>
        <v>#REF!</v>
      </c>
      <c r="IR7" t="e">
        <f>#REF!-"GqN!:y"</f>
        <v>#REF!</v>
      </c>
      <c r="IS7" t="e">
        <f>#REF!-"GqN!:z"</f>
        <v>#REF!</v>
      </c>
      <c r="IT7" t="e">
        <f>#REF!-"GqN!:{"</f>
        <v>#REF!</v>
      </c>
      <c r="IU7" t="e">
        <f>#REF!-"GqN!:|"</f>
        <v>#REF!</v>
      </c>
      <c r="IV7" t="e">
        <f>#REF!-"GqN!:}"</f>
        <v>#REF!</v>
      </c>
    </row>
    <row r="8" spans="1:256">
      <c r="F8" t="e">
        <f>#REF!-"GqN!:~"</f>
        <v>#REF!</v>
      </c>
      <c r="G8" t="e">
        <f>#REF!-"GqN!;#"</f>
        <v>#REF!</v>
      </c>
      <c r="H8" t="e">
        <f>#REF!-"GqN!;$"</f>
        <v>#REF!</v>
      </c>
      <c r="I8" t="e">
        <f>#REF!-"GqN!;%"</f>
        <v>#REF!</v>
      </c>
      <c r="J8" t="e">
        <f>#REF!-"GqN!;&amp;"</f>
        <v>#REF!</v>
      </c>
      <c r="K8" t="e">
        <f>#REF!-"GqN!;'"</f>
        <v>#REF!</v>
      </c>
      <c r="L8" t="e">
        <f>#REF!-"GqN!;("</f>
        <v>#REF!</v>
      </c>
      <c r="M8" t="e">
        <f>#REF!-"GqN!;)"</f>
        <v>#REF!</v>
      </c>
      <c r="N8" t="e">
        <f>#REF!-"GqN!;."</f>
        <v>#REF!</v>
      </c>
      <c r="O8" t="e">
        <f>#REF!-"GqN!;/"</f>
        <v>#REF!</v>
      </c>
      <c r="P8" t="e">
        <f>#REF!-"GqN!;0"</f>
        <v>#REF!</v>
      </c>
      <c r="Q8" t="e">
        <f>#REF!-"GqN!;1"</f>
        <v>#REF!</v>
      </c>
      <c r="R8" t="e">
        <f>#REF!-"GqN!;2"</f>
        <v>#REF!</v>
      </c>
      <c r="S8" t="e">
        <f>#REF!-"GqN!;3"</f>
        <v>#REF!</v>
      </c>
      <c r="T8" t="e">
        <f>#REF!-"GqN!;4"</f>
        <v>#REF!</v>
      </c>
      <c r="U8" t="e">
        <f>#REF!-"GqN!;5"</f>
        <v>#REF!</v>
      </c>
      <c r="V8" t="e">
        <f>#REF!-"GqN!;6"</f>
        <v>#REF!</v>
      </c>
      <c r="W8" t="e">
        <f>#REF!-"GqN!;7"</f>
        <v>#REF!</v>
      </c>
      <c r="X8" t="e">
        <f>#REF!-"GqN!;8"</f>
        <v>#REF!</v>
      </c>
      <c r="Y8" t="e">
        <f>#REF!-"GqN!;9"</f>
        <v>#REF!</v>
      </c>
      <c r="Z8" t="e">
        <f>#REF!-"GqN!;:"</f>
        <v>#REF!</v>
      </c>
      <c r="AA8" t="e">
        <f>#REF!-"GqN!;;"</f>
        <v>#REF!</v>
      </c>
      <c r="AB8" t="e">
        <f>#REF!-"GqN!;&lt;"</f>
        <v>#REF!</v>
      </c>
      <c r="AC8" t="e">
        <f>#REF!-"GqN!;="</f>
        <v>#REF!</v>
      </c>
      <c r="AD8" t="e">
        <f>#REF!-"GqN!;&gt;"</f>
        <v>#REF!</v>
      </c>
      <c r="AE8" t="e">
        <f>#REF!-"GqN!;?"</f>
        <v>#REF!</v>
      </c>
      <c r="AF8" t="e">
        <f>#REF!-"GqN!;@"</f>
        <v>#REF!</v>
      </c>
      <c r="AG8" t="e">
        <f>#REF!-"GqN!;A"</f>
        <v>#REF!</v>
      </c>
      <c r="AH8" t="e">
        <f>#REF!-"GqN!;B"</f>
        <v>#REF!</v>
      </c>
      <c r="AI8" t="e">
        <f>#REF!-"GqN!;C"</f>
        <v>#REF!</v>
      </c>
      <c r="AJ8" t="e">
        <f>#REF!-"GqN!;D"</f>
        <v>#REF!</v>
      </c>
      <c r="AK8" t="e">
        <f>#REF!-"GqN!;E"</f>
        <v>#REF!</v>
      </c>
      <c r="AL8" t="e">
        <f>#REF!-"GqN!;F"</f>
        <v>#REF!</v>
      </c>
      <c r="AM8" t="e">
        <f>#REF!-"GqN!;G"</f>
        <v>#REF!</v>
      </c>
      <c r="AN8" t="e">
        <f>#REF!-"GqN!;H"</f>
        <v>#REF!</v>
      </c>
      <c r="AO8" t="e">
        <f>#REF!-"GqN!;I"</f>
        <v>#REF!</v>
      </c>
      <c r="AP8" t="e">
        <f>#REF!-"GqN!;J"</f>
        <v>#REF!</v>
      </c>
      <c r="AQ8" t="e">
        <f>#REF!-"GqN!;K"</f>
        <v>#REF!</v>
      </c>
      <c r="AR8" t="e">
        <f>#REF!-"GqN!;L"</f>
        <v>#REF!</v>
      </c>
      <c r="AS8" t="e">
        <f>#REF!-"GqN!;M"</f>
        <v>#REF!</v>
      </c>
      <c r="AT8" t="e">
        <f>#REF!-"GqN!;N"</f>
        <v>#REF!</v>
      </c>
      <c r="AU8" t="e">
        <f>#REF!-"GqN!;O"</f>
        <v>#REF!</v>
      </c>
      <c r="AV8" t="e">
        <f>#REF!-"GqN!;P"</f>
        <v>#REF!</v>
      </c>
      <c r="AW8" t="e">
        <f>#REF!-"GqN!;Q"</f>
        <v>#REF!</v>
      </c>
      <c r="AX8" t="e">
        <f>#REF!-"GqN!;R"</f>
        <v>#REF!</v>
      </c>
      <c r="AY8" t="e">
        <f>#REF!-"GqN!;S"</f>
        <v>#REF!</v>
      </c>
      <c r="AZ8" t="e">
        <f>#REF!-"GqN!;T"</f>
        <v>#REF!</v>
      </c>
      <c r="BA8" t="e">
        <f>#REF!-"GqN!;U"</f>
        <v>#REF!</v>
      </c>
      <c r="BB8" t="e">
        <f>#REF!-"GqN!;V"</f>
        <v>#REF!</v>
      </c>
      <c r="BC8" t="e">
        <f>#REF!-"GqN!;W"</f>
        <v>#REF!</v>
      </c>
      <c r="BD8" t="e">
        <f>#REF!-"GqN!;X"</f>
        <v>#REF!</v>
      </c>
      <c r="BE8" t="e">
        <f>#REF!-"GqN!;Y"</f>
        <v>#REF!</v>
      </c>
      <c r="BF8" t="e">
        <f>#REF!-"GqN!;Z"</f>
        <v>#REF!</v>
      </c>
      <c r="BG8" t="e">
        <f>#REF!-"GqN!;["</f>
        <v>#REF!</v>
      </c>
      <c r="BH8" t="e">
        <f>#REF!-"GqN!;\"</f>
        <v>#REF!</v>
      </c>
      <c r="BI8" t="e">
        <f>#REF!-"GqN!;]"</f>
        <v>#REF!</v>
      </c>
      <c r="BJ8" t="e">
        <f>#REF!-"GqN!;^"</f>
        <v>#REF!</v>
      </c>
      <c r="BK8" t="e">
        <f>#REF!-"GqN!;_"</f>
        <v>#REF!</v>
      </c>
      <c r="BL8" t="e">
        <f>#REF!-"GqN!;`"</f>
        <v>#REF!</v>
      </c>
      <c r="BM8" t="e">
        <f>#REF!-"GqN!;a"</f>
        <v>#REF!</v>
      </c>
      <c r="BN8" t="e">
        <f>#REF!-"GqN!;b"</f>
        <v>#REF!</v>
      </c>
      <c r="BO8" t="e">
        <f>#REF!-"GqN!;c"</f>
        <v>#REF!</v>
      </c>
      <c r="BP8" t="e">
        <f>#REF!-"GqN!;d"</f>
        <v>#REF!</v>
      </c>
      <c r="BQ8" t="e">
        <f>#REF!-"GqN!;e"</f>
        <v>#REF!</v>
      </c>
      <c r="BR8" t="e">
        <f>#REF!-"GqN!;f"</f>
        <v>#REF!</v>
      </c>
      <c r="BS8" t="e">
        <f>#REF!-"GqN!;g"</f>
        <v>#REF!</v>
      </c>
      <c r="BT8" t="e">
        <f>#REF!-"GqN!;h"</f>
        <v>#REF!</v>
      </c>
      <c r="BU8" t="e">
        <f>#REF!-"GqN!;i"</f>
        <v>#REF!</v>
      </c>
      <c r="BV8" t="e">
        <f>#REF!-"GqN!;j"</f>
        <v>#REF!</v>
      </c>
      <c r="BW8" t="e">
        <f>#REF!-"GqN!;k"</f>
        <v>#REF!</v>
      </c>
      <c r="BX8" t="e">
        <f>#REF!-"GqN!;l"</f>
        <v>#REF!</v>
      </c>
      <c r="BY8" t="e">
        <f>#REF!-"GqN!;m"</f>
        <v>#REF!</v>
      </c>
      <c r="BZ8" t="e">
        <f>#REF!-"GqN!;n"</f>
        <v>#REF!</v>
      </c>
      <c r="CA8" t="e">
        <f>#REF!-"GqN!;o"</f>
        <v>#REF!</v>
      </c>
      <c r="CB8" t="e">
        <f>#REF!-"GqN!;p"</f>
        <v>#REF!</v>
      </c>
      <c r="CC8" t="e">
        <f>#REF!-"GqN!;q"</f>
        <v>#REF!</v>
      </c>
      <c r="CD8" t="e">
        <f>#REF!-"GqN!;r"</f>
        <v>#REF!</v>
      </c>
      <c r="CE8" t="e">
        <f>#REF!-"GqN!;s"</f>
        <v>#REF!</v>
      </c>
      <c r="CF8" t="e">
        <f>#REF!-"GqN!;t"</f>
        <v>#REF!</v>
      </c>
      <c r="CG8" t="e">
        <f>#REF!-"GqN!;u"</f>
        <v>#REF!</v>
      </c>
      <c r="CH8" t="e">
        <f>#REF!-"GqN!;v"</f>
        <v>#REF!</v>
      </c>
      <c r="CI8" t="e">
        <f>#REF!-"GqN!;w"</f>
        <v>#REF!</v>
      </c>
      <c r="CJ8" t="e">
        <f>#REF!-"GqN!;x"</f>
        <v>#REF!</v>
      </c>
      <c r="CK8" t="e">
        <f>#REF!-"GqN!;y"</f>
        <v>#REF!</v>
      </c>
      <c r="CL8" t="e">
        <f>#REF!-"GqN!;z"</f>
        <v>#REF!</v>
      </c>
      <c r="CM8" t="e">
        <f>#REF!-"GqN!;{"</f>
        <v>#REF!</v>
      </c>
      <c r="CN8" t="e">
        <f>#REF!-"GqN!;|"</f>
        <v>#REF!</v>
      </c>
      <c r="CO8" t="e">
        <f>#REF!-"GqN!;}"</f>
        <v>#REF!</v>
      </c>
      <c r="CP8" t="e">
        <f>#REF!-"GqN!;~"</f>
        <v>#REF!</v>
      </c>
      <c r="CQ8" t="e">
        <f>#REF!-"GqN!&lt;#"</f>
        <v>#REF!</v>
      </c>
      <c r="CR8" t="e">
        <f>#REF!-"GqN!&lt;$"</f>
        <v>#REF!</v>
      </c>
      <c r="CS8" t="e">
        <f>#REF!-"GqN!&lt;%"</f>
        <v>#REF!</v>
      </c>
      <c r="CT8" t="e">
        <f>#REF!-"GqN!&lt;&amp;"</f>
        <v>#REF!</v>
      </c>
      <c r="CU8" t="e">
        <f>#REF!-"GqN!&lt;'"</f>
        <v>#REF!</v>
      </c>
      <c r="CV8" t="e">
        <f>#REF!-"GqN!&lt;("</f>
        <v>#REF!</v>
      </c>
      <c r="CW8" t="e">
        <f>#REF!-"GqN!&lt;)"</f>
        <v>#REF!</v>
      </c>
      <c r="CX8" t="e">
        <f>#REF!-"GqN!&lt;."</f>
        <v>#REF!</v>
      </c>
      <c r="CY8" t="e">
        <f>#REF!-"GqN!&lt;/"</f>
        <v>#REF!</v>
      </c>
      <c r="CZ8" t="e">
        <f>#REF!-"GqN!&lt;0"</f>
        <v>#REF!</v>
      </c>
      <c r="DA8" t="e">
        <f>#REF!-"GqN!&lt;1"</f>
        <v>#REF!</v>
      </c>
      <c r="DB8" t="e">
        <f>#REF!-"GqN!&lt;2"</f>
        <v>#REF!</v>
      </c>
      <c r="DC8" t="e">
        <f>#REF!-"GqN!&lt;3"</f>
        <v>#REF!</v>
      </c>
      <c r="DD8" t="e">
        <f>#REF!-"GqN!&lt;4"</f>
        <v>#REF!</v>
      </c>
      <c r="DE8" t="e">
        <f>#REF!-"GqN!&lt;5"</f>
        <v>#REF!</v>
      </c>
      <c r="DF8" t="e">
        <f>#REF!-"GqN!&lt;6"</f>
        <v>#REF!</v>
      </c>
      <c r="DG8" t="e">
        <f>#REF!-"GqN!&lt;7"</f>
        <v>#REF!</v>
      </c>
      <c r="DH8" t="e">
        <f>#REF!-"GqN!&lt;8"</f>
        <v>#REF!</v>
      </c>
      <c r="DI8" t="e">
        <f>#REF!-"GqN!&lt;9"</f>
        <v>#REF!</v>
      </c>
      <c r="DJ8" t="e">
        <f>#REF!-"GqN!&lt;:"</f>
        <v>#REF!</v>
      </c>
      <c r="DK8" t="e">
        <f>#REF!-"GqN!&lt;;"</f>
        <v>#REF!</v>
      </c>
      <c r="DL8" t="e">
        <f>#REF!-"GqN!&lt;&lt;"</f>
        <v>#REF!</v>
      </c>
      <c r="DM8" t="e">
        <f>#REF!-"GqN!&lt;="</f>
        <v>#REF!</v>
      </c>
      <c r="DN8" t="e">
        <f>#REF!-"GqN!&lt;&gt;"</f>
        <v>#REF!</v>
      </c>
      <c r="DO8" t="e">
        <f>#REF!-"GqN!&lt;?"</f>
        <v>#REF!</v>
      </c>
      <c r="DP8" t="e">
        <f>#REF!-"GqN!&lt;@"</f>
        <v>#REF!</v>
      </c>
      <c r="DQ8" t="e">
        <f>#REF!-"GqN!&lt;A"</f>
        <v>#REF!</v>
      </c>
      <c r="DR8" t="e">
        <f>#REF!-"GqN!&lt;B"</f>
        <v>#REF!</v>
      </c>
      <c r="DS8" t="e">
        <f>#REF!-"GqN!&lt;C"</f>
        <v>#REF!</v>
      </c>
      <c r="DT8" t="e">
        <f>#REF!-"GqN!&lt;D"</f>
        <v>#REF!</v>
      </c>
      <c r="DU8" t="e">
        <f>#REF!-"GqN!&lt;E"</f>
        <v>#REF!</v>
      </c>
      <c r="DV8" t="e">
        <f>#REF!-"GqN!&lt;F"</f>
        <v>#REF!</v>
      </c>
      <c r="DW8" t="e">
        <f>#REF!-"GqN!&lt;G"</f>
        <v>#REF!</v>
      </c>
      <c r="DX8" t="e">
        <f>#REF!-"GqN!&lt;H"</f>
        <v>#REF!</v>
      </c>
      <c r="DY8" t="e">
        <f>#REF!-"GqN!&lt;I"</f>
        <v>#REF!</v>
      </c>
      <c r="DZ8" t="e">
        <f>#REF!-"GqN!&lt;J"</f>
        <v>#REF!</v>
      </c>
      <c r="EA8" t="e">
        <f>#REF!-"GqN!&lt;K"</f>
        <v>#REF!</v>
      </c>
      <c r="EB8" t="e">
        <f>#REF!-"GqN!&lt;L"</f>
        <v>#REF!</v>
      </c>
      <c r="EC8" t="e">
        <f>#REF!-"GqN!&lt;M"</f>
        <v>#REF!</v>
      </c>
      <c r="ED8" t="e">
        <f>#REF!-"GqN!&lt;N"</f>
        <v>#REF!</v>
      </c>
      <c r="EE8" t="e">
        <f>#REF!-"GqN!&lt;O"</f>
        <v>#REF!</v>
      </c>
      <c r="EF8" t="e">
        <f>#REF!-"GqN!&lt;P"</f>
        <v>#REF!</v>
      </c>
      <c r="EG8" t="e">
        <f>#REF!-"GqN!&lt;Q"</f>
        <v>#REF!</v>
      </c>
      <c r="EH8" t="e">
        <f>#REF!-"GqN!&lt;R"</f>
        <v>#REF!</v>
      </c>
      <c r="EI8" t="e">
        <f>#REF!-"GqN!&lt;S"</f>
        <v>#REF!</v>
      </c>
      <c r="EJ8" t="e">
        <f>#REF!-"GqN!&lt;T"</f>
        <v>#REF!</v>
      </c>
      <c r="EK8" t="e">
        <f>#REF!-"GqN!&lt;U"</f>
        <v>#REF!</v>
      </c>
      <c r="EL8" t="e">
        <f>#REF!-"GqN!&lt;V"</f>
        <v>#REF!</v>
      </c>
      <c r="EM8" t="e">
        <f>#REF!-"GqN!&lt;W"</f>
        <v>#REF!</v>
      </c>
      <c r="EN8" t="e">
        <f>#REF!-"GqN!&lt;X"</f>
        <v>#REF!</v>
      </c>
      <c r="EO8" t="e">
        <f>#REF!-"GqN!&lt;Y"</f>
        <v>#REF!</v>
      </c>
      <c r="EP8" t="e">
        <f>#REF!-"GqN!&lt;Z"</f>
        <v>#REF!</v>
      </c>
      <c r="EQ8" t="e">
        <f>#REF!-"GqN!&lt;["</f>
        <v>#REF!</v>
      </c>
      <c r="ER8" t="e">
        <f>#REF!-"GqN!&lt;\"</f>
        <v>#REF!</v>
      </c>
      <c r="ES8" t="e">
        <f>#REF!-"GqN!&lt;]"</f>
        <v>#REF!</v>
      </c>
      <c r="ET8" t="e">
        <f>#REF!-"GqN!&lt;^"</f>
        <v>#REF!</v>
      </c>
      <c r="EU8" t="e">
        <f>#REF!-"GqN!&lt;_"</f>
        <v>#REF!</v>
      </c>
      <c r="EV8" t="e">
        <f>#REF!-"GqN!&lt;`"</f>
        <v>#REF!</v>
      </c>
      <c r="EW8" t="e">
        <f>#REF!-"GqN!&lt;a"</f>
        <v>#REF!</v>
      </c>
      <c r="EX8" t="e">
        <f>#REF!-"GqN!&lt;b"</f>
        <v>#REF!</v>
      </c>
      <c r="EY8" t="e">
        <f>#REF!-"GqN!&lt;c"</f>
        <v>#REF!</v>
      </c>
      <c r="EZ8" t="e">
        <f>#REF!-"GqN!&lt;d"</f>
        <v>#REF!</v>
      </c>
      <c r="FA8" t="e">
        <f>#REF!-"GqN!&lt;e"</f>
        <v>#REF!</v>
      </c>
      <c r="FB8" t="e">
        <f>#REF!-"GqN!&lt;f"</f>
        <v>#REF!</v>
      </c>
      <c r="FC8" t="e">
        <f>#REF!-"GqN!&lt;g"</f>
        <v>#REF!</v>
      </c>
      <c r="FD8" t="e">
        <f>#REF!-"GqN!&lt;h"</f>
        <v>#REF!</v>
      </c>
      <c r="FE8" t="e">
        <f>#REF!-"GqN!&lt;i"</f>
        <v>#REF!</v>
      </c>
      <c r="FF8" t="e">
        <f>#REF!-"GqN!&lt;j"</f>
        <v>#REF!</v>
      </c>
      <c r="FG8" t="e">
        <f>#REF!-"GqN!&lt;k"</f>
        <v>#REF!</v>
      </c>
      <c r="FH8" t="e">
        <f>#REF!-"GqN!&lt;l"</f>
        <v>#REF!</v>
      </c>
      <c r="FI8" t="e">
        <f>#REF!-"GqN!&lt;m"</f>
        <v>#REF!</v>
      </c>
      <c r="FJ8" t="e">
        <f>#REF!-"GqN!&lt;n"</f>
        <v>#REF!</v>
      </c>
      <c r="FK8" t="e">
        <f>#REF!+"GqN!&lt;o"</f>
        <v>#REF!</v>
      </c>
      <c r="FL8" t="e">
        <f>#REF!+"GqN!&lt;p"</f>
        <v>#REF!</v>
      </c>
      <c r="FM8" t="e">
        <f>#REF!+"GqN!&lt;q"</f>
        <v>#REF!</v>
      </c>
      <c r="FN8" t="e">
        <f>#REF!+"GqN!&lt;r"</f>
        <v>#REF!</v>
      </c>
      <c r="FO8" t="e">
        <f>#REF!+"GqN!&lt;s"</f>
        <v>#REF!</v>
      </c>
      <c r="FP8" t="e">
        <f>#REF!+"GqN!&lt;t"</f>
        <v>#REF!</v>
      </c>
      <c r="FQ8" t="e">
        <f>#REF!+"GqN!&lt;u"</f>
        <v>#REF!</v>
      </c>
      <c r="FR8" t="e">
        <f>#REF!+"GqN!&lt;v"</f>
        <v>#REF!</v>
      </c>
      <c r="FS8" t="e">
        <f>#REF!+"GqN!&lt;w"</f>
        <v>#REF!</v>
      </c>
      <c r="FT8" t="e">
        <f>#REF!+"GqN!&lt;x"</f>
        <v>#REF!</v>
      </c>
      <c r="FU8" t="e">
        <f>#REF!+"GqN!&lt;y"</f>
        <v>#REF!</v>
      </c>
      <c r="FV8" t="e">
        <f>#REF!+"GqN!&lt;z"</f>
        <v>#REF!</v>
      </c>
      <c r="FW8" t="e">
        <f>#REF!+"GqN!&lt;{"</f>
        <v>#REF!</v>
      </c>
      <c r="FX8" t="e">
        <f>#REF!+"GqN!&lt;|"</f>
        <v>#REF!</v>
      </c>
      <c r="FY8" t="e">
        <f>#REF!+"GqN!&lt;}"</f>
        <v>#REF!</v>
      </c>
      <c r="FZ8" t="e">
        <f>#REF!+"GqN!&lt;~"</f>
        <v>#REF!</v>
      </c>
      <c r="GA8" t="e">
        <f>#REF!+"GqN!=#"</f>
        <v>#REF!</v>
      </c>
      <c r="GB8" t="e">
        <f>#REF!+"GqN!=$"</f>
        <v>#REF!</v>
      </c>
      <c r="GC8" t="e">
        <f>#REF!+"GqN!=%"</f>
        <v>#REF!</v>
      </c>
      <c r="GD8" t="e">
        <f>#REF!+"GqN!=&amp;"</f>
        <v>#REF!</v>
      </c>
      <c r="GE8" t="e">
        <f>#REF!+"GqN!='"</f>
        <v>#REF!</v>
      </c>
      <c r="GF8" t="e">
        <f>#REF!+"GqN!=("</f>
        <v>#REF!</v>
      </c>
      <c r="GG8" t="e">
        <f>#REF!+"GqN!=)"</f>
        <v>#REF!</v>
      </c>
      <c r="GH8" t="e">
        <f>#REF!+"GqN!=."</f>
        <v>#REF!</v>
      </c>
      <c r="GI8" t="e">
        <f>#REF!+"GqN!=/"</f>
        <v>#REF!</v>
      </c>
      <c r="GJ8" t="e">
        <f>#REF!+"GqN!=0"</f>
        <v>#REF!</v>
      </c>
      <c r="GK8" t="e">
        <f>#REF!+"GqN!=1"</f>
        <v>#REF!</v>
      </c>
      <c r="GL8" t="e">
        <f>#REF!+"GqN!=2"</f>
        <v>#REF!</v>
      </c>
      <c r="GM8" t="e">
        <f>#REF!+"GqN!=3"</f>
        <v>#REF!</v>
      </c>
      <c r="GN8" t="e">
        <f>#REF!+"GqN!=4"</f>
        <v>#REF!</v>
      </c>
      <c r="GO8" t="e">
        <f>#REF!+"GqN!=5"</f>
        <v>#REF!</v>
      </c>
      <c r="GP8" t="e">
        <f>#REF!+"GqN!=6"</f>
        <v>#REF!</v>
      </c>
      <c r="GQ8" t="e">
        <f>#REF!+"GqN!=7"</f>
        <v>#REF!</v>
      </c>
      <c r="GR8" t="e">
        <f>#REF!+"GqN!=8"</f>
        <v>#REF!</v>
      </c>
      <c r="GS8" t="e">
        <f>#REF!+"GqN!=9"</f>
        <v>#REF!</v>
      </c>
      <c r="GT8" t="e">
        <f>#REF!+"GqN!=:"</f>
        <v>#REF!</v>
      </c>
      <c r="GU8" t="e">
        <f>#REF!+"GqN!=;"</f>
        <v>#REF!</v>
      </c>
      <c r="GV8" t="e">
        <f>#REF!+"GqN!=&lt;"</f>
        <v>#REF!</v>
      </c>
      <c r="GW8" t="e">
        <f>#REF!+"GqN!=="</f>
        <v>#REF!</v>
      </c>
      <c r="GX8" t="e">
        <f>#REF!+"GqN!=&gt;"</f>
        <v>#REF!</v>
      </c>
      <c r="GY8" t="e">
        <f>#REF!+"GqN!=?"</f>
        <v>#REF!</v>
      </c>
      <c r="GZ8" t="e">
        <f>#REF!+"GqN!=@"</f>
        <v>#REF!</v>
      </c>
      <c r="HA8" t="e">
        <f>#REF!+"GqN!=A"</f>
        <v>#REF!</v>
      </c>
      <c r="HB8" t="e">
        <f>#REF!+"GqN!=B"</f>
        <v>#REF!</v>
      </c>
      <c r="HC8" t="e">
        <f>#REF!+"GqN!=C"</f>
        <v>#REF!</v>
      </c>
      <c r="HD8" t="e">
        <f>#REF!+"GqN!=D"</f>
        <v>#REF!</v>
      </c>
      <c r="HE8" t="e">
        <f>#REF!+"GqN!=E"</f>
        <v>#REF!</v>
      </c>
      <c r="HF8" t="e">
        <f>'Codification - type KO'!H1+"'&lt;!%"</f>
        <v>#VALUE!</v>
      </c>
      <c r="HG8" t="e">
        <f>'Codification - type KO'!A2+"'&lt;!&amp;"</f>
        <v>#VALUE!</v>
      </c>
      <c r="HH8" t="e">
        <f>'Codification - type KO'!B2+"'&lt;!'"</f>
        <v>#VALUE!</v>
      </c>
      <c r="HI8" t="e">
        <f>'Codification - type KO'!C2+"'&lt;!("</f>
        <v>#VALUE!</v>
      </c>
      <c r="HJ8" t="e">
        <f>'Codification - type KO'!D2+"'&lt;!)"</f>
        <v>#VALUE!</v>
      </c>
      <c r="HK8" t="e">
        <f>'Codification - type KO'!E2+"'&lt;!."</f>
        <v>#VALUE!</v>
      </c>
      <c r="HL8" t="e">
        <f>'Codification - type KO'!F2+"'&lt;!/"</f>
        <v>#VALUE!</v>
      </c>
      <c r="HM8" t="e">
        <f>'Codification - type KO'!G2+"'&lt;!0"</f>
        <v>#VALUE!</v>
      </c>
      <c r="HN8" t="e">
        <f>'Codification - type KO'!H2+"'&lt;!1"</f>
        <v>#VALUE!</v>
      </c>
      <c r="HO8" t="e">
        <f>'Codification - type KO'!A3+"'&lt;!2"</f>
        <v>#VALUE!</v>
      </c>
      <c r="HP8" t="e">
        <f>'Codification - type KO'!B3+"'&lt;!3"</f>
        <v>#VALUE!</v>
      </c>
      <c r="HQ8" t="e">
        <f>'Codification - type KO'!C3+"'&lt;!4"</f>
        <v>#VALUE!</v>
      </c>
      <c r="HR8" t="e">
        <f>'Codification - type KO'!D3+"'&lt;!5"</f>
        <v>#VALUE!</v>
      </c>
      <c r="HS8" t="e">
        <f>'Codification - type KO'!E3+"'&lt;!6"</f>
        <v>#VALUE!</v>
      </c>
      <c r="HT8" t="e">
        <f>'Codification - type KO'!F3+"'&lt;!7"</f>
        <v>#VALUE!</v>
      </c>
      <c r="HU8" t="e">
        <f>'Codification - type KO'!G3+"'&lt;!8"</f>
        <v>#VALUE!</v>
      </c>
      <c r="HV8" t="e">
        <f>'Codification - type KO'!H3+"'&lt;!9"</f>
        <v>#VALUE!</v>
      </c>
      <c r="HW8" t="e">
        <f>'Codification - type KO'!A4+"'&lt;!:"</f>
        <v>#VALUE!</v>
      </c>
      <c r="HX8" t="e">
        <f>'Codification - type KO'!B4+"'&lt;!;"</f>
        <v>#VALUE!</v>
      </c>
      <c r="HY8" t="e">
        <f>'Codification - type KO'!C4+"'&lt;!&lt;"</f>
        <v>#VALUE!</v>
      </c>
      <c r="HZ8" t="e">
        <f>'Codification - type KO'!D4+"'&lt;!="</f>
        <v>#VALUE!</v>
      </c>
      <c r="IA8" t="e">
        <f>'Codification - type KO'!E4+"'&lt;!&gt;"</f>
        <v>#VALUE!</v>
      </c>
      <c r="IB8" t="e">
        <f>'Codification - type KO'!F4+"'&lt;!?"</f>
        <v>#VALUE!</v>
      </c>
      <c r="IC8" t="e">
        <f>'Codification - type KO'!G4+"'&lt;!@"</f>
        <v>#VALUE!</v>
      </c>
      <c r="ID8" t="e">
        <f>'Codification - type KO'!H4+"'&lt;!A"</f>
        <v>#VALUE!</v>
      </c>
      <c r="IE8" t="e">
        <f>'Codification - type KO'!A5+"'&lt;!B"</f>
        <v>#VALUE!</v>
      </c>
      <c r="IF8" t="e">
        <f>'Codification - type KO'!B5+"'&lt;!C"</f>
        <v>#VALUE!</v>
      </c>
      <c r="IG8" t="e">
        <f>'Codification - type KO'!C5+"'&lt;!D"</f>
        <v>#VALUE!</v>
      </c>
      <c r="IH8" t="e">
        <f>'Codification - type KO'!D5+"'&lt;!E"</f>
        <v>#VALUE!</v>
      </c>
      <c r="II8" t="e">
        <f>'Codification - type KO'!E5+"'&lt;!F"</f>
        <v>#VALUE!</v>
      </c>
      <c r="IJ8" t="e">
        <f>'Codification - type KO'!F5+"'&lt;!G"</f>
        <v>#VALUE!</v>
      </c>
      <c r="IK8" t="e">
        <f>'Codification - type KO'!G5+"'&lt;!H"</f>
        <v>#VALUE!</v>
      </c>
      <c r="IL8" t="e">
        <f>'Codification - type KO'!H5+"'&lt;!I"</f>
        <v>#VALUE!</v>
      </c>
      <c r="IM8" t="e">
        <f>'Codification - type KO'!A6+"'&lt;!J"</f>
        <v>#VALUE!</v>
      </c>
      <c r="IN8" t="e">
        <f>'Codification - type KO'!B6+"'&lt;!K"</f>
        <v>#VALUE!</v>
      </c>
      <c r="IO8" t="e">
        <f>'Codification - type KO'!C6+"'&lt;!L"</f>
        <v>#VALUE!</v>
      </c>
      <c r="IP8" t="e">
        <f>'Codification - type KO'!D6+"'&lt;!M"</f>
        <v>#VALUE!</v>
      </c>
      <c r="IQ8" t="e">
        <f>'Codification - type KO'!E6+"'&lt;!N"</f>
        <v>#VALUE!</v>
      </c>
      <c r="IR8" t="e">
        <f>'Codification - type KO'!F6+"'&lt;!O"</f>
        <v>#VALUE!</v>
      </c>
      <c r="IS8" t="e">
        <f>'Codification - type KO'!G6+"'&lt;!P"</f>
        <v>#VALUE!</v>
      </c>
      <c r="IT8" t="e">
        <f>'Codification - type KO'!H6+"'&lt;!Q"</f>
        <v>#VALUE!</v>
      </c>
      <c r="IU8" t="e">
        <f>'Codification - type KO'!A7+"'&lt;!R"</f>
        <v>#VALUE!</v>
      </c>
      <c r="IV8" t="e">
        <f>'Codification - type KO'!B7+"'&lt;!S"</f>
        <v>#VALUE!</v>
      </c>
    </row>
    <row r="9" spans="1:256">
      <c r="F9" t="e">
        <f>'Codification - type KO'!C7+"'&lt;!T"</f>
        <v>#VALUE!</v>
      </c>
      <c r="G9" t="e">
        <f>'Codification - type KO'!D7+"'&lt;!U"</f>
        <v>#VALUE!</v>
      </c>
      <c r="H9" t="e">
        <f>'Codification - type KO'!E7+"'&lt;!V"</f>
        <v>#VALUE!</v>
      </c>
      <c r="I9" t="e">
        <f>'Codification - type KO'!F7+"'&lt;!W"</f>
        <v>#VALUE!</v>
      </c>
      <c r="J9" t="e">
        <f>'Codification - type KO'!G7+"'&lt;!X"</f>
        <v>#VALUE!</v>
      </c>
      <c r="K9" t="e">
        <f>'Codification - type KO'!H7+"'&lt;!Y"</f>
        <v>#VALUE!</v>
      </c>
      <c r="L9" t="e">
        <f>'Codification - type KO'!A8+"'&lt;!Z"</f>
        <v>#VALUE!</v>
      </c>
      <c r="M9" t="e">
        <f>'Codification - type KO'!B8+"'&lt;!["</f>
        <v>#VALUE!</v>
      </c>
      <c r="N9" t="e">
        <f>'Codification - type KO'!C8+"'&lt;!\"</f>
        <v>#VALUE!</v>
      </c>
      <c r="O9" t="e">
        <f>'Codification - type KO'!D8+"'&lt;!]"</f>
        <v>#VALUE!</v>
      </c>
      <c r="P9" t="e">
        <f>'Codification - type KO'!E8+"'&lt;!^"</f>
        <v>#VALUE!</v>
      </c>
      <c r="Q9" t="e">
        <f>'Codification - type KO'!F8+"'&lt;!_"</f>
        <v>#VALUE!</v>
      </c>
      <c r="R9" t="e">
        <f>'Codification - type KO'!G8+"'&lt;!`"</f>
        <v>#VALUE!</v>
      </c>
      <c r="S9" t="e">
        <f>'Codification - type KO'!H8+"'&lt;!a"</f>
        <v>#VALUE!</v>
      </c>
      <c r="T9" t="e">
        <f>'Codification - type KO'!A9+"'&lt;!b"</f>
        <v>#VALUE!</v>
      </c>
      <c r="U9" t="e">
        <f>'Codification - type KO'!B9+"'&lt;!c"</f>
        <v>#VALUE!</v>
      </c>
      <c r="V9" t="e">
        <f>'Codification - type KO'!C9+"'&lt;!d"</f>
        <v>#VALUE!</v>
      </c>
      <c r="W9" t="e">
        <f>'Codification - type KO'!D9+"'&lt;!e"</f>
        <v>#VALUE!</v>
      </c>
      <c r="X9" t="e">
        <f>'Codification - type KO'!E9+"'&lt;!f"</f>
        <v>#VALUE!</v>
      </c>
      <c r="Y9" t="e">
        <f>'Codification - type KO'!F9+"'&lt;!g"</f>
        <v>#VALUE!</v>
      </c>
      <c r="Z9" t="e">
        <f>'Codification - type KO'!G9+"'&lt;!h"</f>
        <v>#VALUE!</v>
      </c>
      <c r="AA9" t="e">
        <f>'Codification - type KO'!H9+"'&lt;!i"</f>
        <v>#VALUE!</v>
      </c>
      <c r="AB9" t="e">
        <f>'Codification - type KO'!A10+"'&lt;!j"</f>
        <v>#VALUE!</v>
      </c>
      <c r="AC9" t="e">
        <f>'Codification - type KO'!B10+"'&lt;!k"</f>
        <v>#VALUE!</v>
      </c>
      <c r="AD9" t="e">
        <f>'Codification - type KO'!C10+"'&lt;!l"</f>
        <v>#VALUE!</v>
      </c>
      <c r="AE9" t="e">
        <f>'Codification - type KO'!D10+"'&lt;!m"</f>
        <v>#VALUE!</v>
      </c>
      <c r="AF9" t="e">
        <f>'Codification - type KO'!E10+"'&lt;!n"</f>
        <v>#VALUE!</v>
      </c>
      <c r="AG9" t="e">
        <f>'Codification - type KO'!F10+"'&lt;!o"</f>
        <v>#VALUE!</v>
      </c>
      <c r="AH9" t="e">
        <f>'Codification - type KO'!G10+"'&lt;!p"</f>
        <v>#VALUE!</v>
      </c>
      <c r="AI9" t="e">
        <f>'Codification - type KO'!H10+"'&lt;!q"</f>
        <v>#VALUE!</v>
      </c>
      <c r="AJ9" t="e">
        <f>'Codification - type KO'!A11+"'&lt;!r"</f>
        <v>#VALUE!</v>
      </c>
      <c r="AK9" t="e">
        <f>'Codification - type KO'!B11+"'&lt;!s"</f>
        <v>#VALUE!</v>
      </c>
      <c r="AL9" t="e">
        <f>'Codification - type KO'!C11+"'&lt;!t"</f>
        <v>#VALUE!</v>
      </c>
      <c r="AM9" t="e">
        <f>'Codification - type KO'!D11+"'&lt;!u"</f>
        <v>#VALUE!</v>
      </c>
      <c r="AN9" t="e">
        <f>'Codification - type KO'!E11+"'&lt;!v"</f>
        <v>#VALUE!</v>
      </c>
      <c r="AO9" t="e">
        <f>'Codification - type KO'!F11+"'&lt;!w"</f>
        <v>#VALUE!</v>
      </c>
      <c r="AP9" t="e">
        <f>'Codification - type KO'!G11+"'&lt;!x"</f>
        <v>#VALUE!</v>
      </c>
      <c r="AQ9" t="e">
        <f>'Codification - type KO'!H11+"'&lt;!y"</f>
        <v>#VALUE!</v>
      </c>
      <c r="AR9" t="e">
        <f>'Codification - type KO'!A12+"'&lt;!z"</f>
        <v>#VALUE!</v>
      </c>
      <c r="AS9" t="e">
        <f>'Codification - type KO'!B12+"'&lt;!{"</f>
        <v>#VALUE!</v>
      </c>
      <c r="AT9" t="e">
        <f>'Codification - type KO'!C12+"'&lt;!|"</f>
        <v>#VALUE!</v>
      </c>
      <c r="AU9" t="e">
        <f>'Codification - type KO'!D12+"'&lt;!}"</f>
        <v>#VALUE!</v>
      </c>
      <c r="AV9" t="e">
        <f>'Codification - type KO'!E12+"'&lt;!~"</f>
        <v>#VALUE!</v>
      </c>
      <c r="AW9" t="e">
        <f>'Codification - type KO'!F12+"'&lt;!$#"</f>
        <v>#VALUE!</v>
      </c>
      <c r="AX9" t="e">
        <f>'Codification - type KO'!G12+"'&lt;!$$"</f>
        <v>#VALUE!</v>
      </c>
      <c r="AY9" t="e">
        <f>'Codification - type KO'!H12+"'&lt;!$%"</f>
        <v>#VALUE!</v>
      </c>
      <c r="AZ9" t="e">
        <f>'Codification - type KO'!A13+"'&lt;!$&amp;"</f>
        <v>#VALUE!</v>
      </c>
      <c r="BA9" t="e">
        <f>'Codification - type KO'!B13+"'&lt;!$'"</f>
        <v>#VALUE!</v>
      </c>
      <c r="BB9" t="e">
        <f>'Codification - type KO'!C13+"'&lt;!$("</f>
        <v>#VALUE!</v>
      </c>
      <c r="BC9" t="e">
        <f>'Codification - type KO'!D13+"'&lt;!$)"</f>
        <v>#VALUE!</v>
      </c>
      <c r="BD9" t="e">
        <f>'Codification - type KO'!E13+"'&lt;!$."</f>
        <v>#VALUE!</v>
      </c>
      <c r="BE9" t="e">
        <f>'Codification - type KO'!F13+"'&lt;!$/"</f>
        <v>#VALUE!</v>
      </c>
      <c r="BF9" t="e">
        <f>'Codification - type KO'!G13+"'&lt;!$0"</f>
        <v>#VALUE!</v>
      </c>
      <c r="BG9" t="e">
        <f>'Codification - type KO'!H13+"'&lt;!$1"</f>
        <v>#VALUE!</v>
      </c>
      <c r="BH9" t="e">
        <f>'Codification - type KO'!A15+"'&lt;!$2"</f>
        <v>#VALUE!</v>
      </c>
      <c r="BI9" t="e">
        <f>'Codification - type KO'!A47+"'&lt;!$3"</f>
        <v>#VALUE!</v>
      </c>
      <c r="BJ9" t="e">
        <f>'Codification - type KO'!B47+"'&lt;!$4"</f>
        <v>#VALUE!</v>
      </c>
      <c r="BK9" t="e">
        <f>'Codification - type KO'!C47+"'&lt;!$5"</f>
        <v>#VALUE!</v>
      </c>
      <c r="BL9" t="e">
        <f>'Codification - type KO'!D47+"'&lt;!$6"</f>
        <v>#VALUE!</v>
      </c>
      <c r="BM9" t="e">
        <f>'Codification - type KO'!E47+"'&lt;!$7"</f>
        <v>#VALUE!</v>
      </c>
      <c r="BN9" t="e">
        <f>'Codification - type KO'!F47+"'&lt;!$8"</f>
        <v>#VALUE!</v>
      </c>
      <c r="BO9" t="e">
        <f>'Codification - type KO'!G47+"'&lt;!$9"</f>
        <v>#VALUE!</v>
      </c>
      <c r="BP9" t="e">
        <f>'Codification - type KO'!H47+"'&lt;!$:"</f>
        <v>#VALUE!</v>
      </c>
      <c r="BQ9" t="e">
        <f>'Codification - type KO'!A51+"'&lt;!$;"</f>
        <v>#VALUE!</v>
      </c>
      <c r="BR9" t="e">
        <f>'Codification - type KO'!B51+"'&lt;!$&lt;"</f>
        <v>#VALUE!</v>
      </c>
      <c r="BS9" t="e">
        <f>'Codification - type KO'!C51+"'&lt;!$="</f>
        <v>#VALUE!</v>
      </c>
      <c r="BT9" t="e">
        <f>'Codification - type KO'!D51+"'&lt;!$&gt;"</f>
        <v>#VALUE!</v>
      </c>
      <c r="BU9" t="e">
        <f>'Codification - type KO'!E51+"'&lt;!$?"</f>
        <v>#VALUE!</v>
      </c>
      <c r="BV9" t="e">
        <f>'Codification - type KO'!F51+"'&lt;!$@"</f>
        <v>#VALUE!</v>
      </c>
      <c r="BW9" t="e">
        <f>'Codification - type KO'!G51+"'&lt;!$A"</f>
        <v>#VALUE!</v>
      </c>
      <c r="BX9" t="e">
        <f>'Codification - type KO'!H51+"'&lt;!$B"</f>
        <v>#VALUE!</v>
      </c>
      <c r="BY9" t="e">
        <f>'Codification - type KO'!A52+"'&lt;!$C"</f>
        <v>#VALUE!</v>
      </c>
      <c r="BZ9" t="e">
        <f>'Codification - type KO'!B52+"'&lt;!$D"</f>
        <v>#VALUE!</v>
      </c>
      <c r="CA9" t="e">
        <f>'Codification - type KO'!C52+"'&lt;!$E"</f>
        <v>#VALUE!</v>
      </c>
      <c r="CB9" t="e">
        <f>'Codification - type KO'!D52+"'&lt;!$F"</f>
        <v>#VALUE!</v>
      </c>
      <c r="CC9" t="e">
        <f>'Codification - type KO'!E52+"'&lt;!$G"</f>
        <v>#VALUE!</v>
      </c>
      <c r="CD9" t="e">
        <f>'Codification - type KO'!F52+"'&lt;!$H"</f>
        <v>#VALUE!</v>
      </c>
      <c r="CE9" t="e">
        <f>'Codification - type KO'!G52+"'&lt;!$I"</f>
        <v>#VALUE!</v>
      </c>
      <c r="CF9" t="e">
        <f>'Codification - type KO'!H52+"'&lt;!$J"</f>
        <v>#VALUE!</v>
      </c>
      <c r="CG9" t="e">
        <f>'Codification - type KO'!A53+"'&lt;!$K"</f>
        <v>#VALUE!</v>
      </c>
      <c r="CH9" t="e">
        <f>'Codification - type KO'!B53+"'&lt;!$L"</f>
        <v>#VALUE!</v>
      </c>
      <c r="CI9" t="e">
        <f>'Codification - type KO'!C53+"'&lt;!$M"</f>
        <v>#VALUE!</v>
      </c>
      <c r="CJ9" t="e">
        <f>'Codification - type KO'!D53+"'&lt;!$N"</f>
        <v>#VALUE!</v>
      </c>
      <c r="CK9" t="e">
        <f>'Codification - type KO'!E53+"'&lt;!$O"</f>
        <v>#VALUE!</v>
      </c>
      <c r="CL9" t="e">
        <f>'Codification - type KO'!F53+"'&lt;!$P"</f>
        <v>#VALUE!</v>
      </c>
      <c r="CM9" t="e">
        <f>'Codification - type KO'!G53+"'&lt;!$Q"</f>
        <v>#VALUE!</v>
      </c>
      <c r="CN9" t="e">
        <f>'Codification - type KO'!H53+"'&lt;!$R"</f>
        <v>#VALUE!</v>
      </c>
      <c r="CO9" t="e">
        <f>'Codification - type KO'!A55+"'&lt;!$S"</f>
        <v>#VALUE!</v>
      </c>
      <c r="CP9" t="e">
        <f>'Codification - type KO'!B55+"'&lt;!$T"</f>
        <v>#VALUE!</v>
      </c>
      <c r="CQ9" t="e">
        <f>'Codification - type KO'!C55+"'&lt;!$U"</f>
        <v>#VALUE!</v>
      </c>
      <c r="CR9" t="e">
        <f>'Codification - type KO'!D55+"'&lt;!$V"</f>
        <v>#VALUE!</v>
      </c>
      <c r="CS9" t="e">
        <f>'Codification - type KO'!E55+"'&lt;!$W"</f>
        <v>#VALUE!</v>
      </c>
      <c r="CT9" t="e">
        <f>'Codification - type KO'!F55+"'&lt;!$X"</f>
        <v>#VALUE!</v>
      </c>
      <c r="CU9" t="e">
        <f>'Codification - type KO'!G55+"'&lt;!$Y"</f>
        <v>#VALUE!</v>
      </c>
      <c r="CV9" t="e">
        <f>'Codification - type KO'!H55+"'&lt;!$Z"</f>
        <v>#VALUE!</v>
      </c>
      <c r="CW9" t="e">
        <f>'Codification - type KO'!A56+"'&lt;!$["</f>
        <v>#VALUE!</v>
      </c>
      <c r="CX9" t="e">
        <f>'Codification - type KO'!B56+"'&lt;!$\"</f>
        <v>#VALUE!</v>
      </c>
      <c r="CY9" t="e">
        <f>'Codification - type KO'!C56+"'&lt;!$]"</f>
        <v>#VALUE!</v>
      </c>
      <c r="CZ9" t="e">
        <f>'Codification - type KO'!D56+"'&lt;!$^"</f>
        <v>#VALUE!</v>
      </c>
      <c r="DA9" t="e">
        <f>'Codification - type KO'!E56+"'&lt;!$_"</f>
        <v>#VALUE!</v>
      </c>
      <c r="DB9" t="e">
        <f>'Codification - type KO'!F56+"'&lt;!$`"</f>
        <v>#VALUE!</v>
      </c>
      <c r="DC9" t="e">
        <f>'Codification - type KO'!G56+"'&lt;!$a"</f>
        <v>#VALUE!</v>
      </c>
      <c r="DD9" t="e">
        <f>'Codification - type KO'!H56+"'&lt;!$b"</f>
        <v>#VALUE!</v>
      </c>
      <c r="DE9" t="e">
        <f>'Codification - type KO'!A57+"'&lt;!$c"</f>
        <v>#VALUE!</v>
      </c>
      <c r="DF9" t="e">
        <f>'Codification - type KO'!B57+"'&lt;!$d"</f>
        <v>#VALUE!</v>
      </c>
      <c r="DG9" t="e">
        <f>'Codification - type KO'!C57+"'&lt;!$e"</f>
        <v>#VALUE!</v>
      </c>
      <c r="DH9" t="e">
        <f>'Codification - type KO'!D57+"'&lt;!$f"</f>
        <v>#VALUE!</v>
      </c>
      <c r="DI9" t="e">
        <f>'Codification - type KO'!E57+"'&lt;!$g"</f>
        <v>#VALUE!</v>
      </c>
      <c r="DJ9" t="e">
        <f>'Codification - type KO'!F57+"'&lt;!$h"</f>
        <v>#VALUE!</v>
      </c>
      <c r="DK9" t="e">
        <f>'Codification - type KO'!G57+"'&lt;!$i"</f>
        <v>#VALUE!</v>
      </c>
      <c r="DL9" t="e">
        <f>'Codification - type KO'!H57+"'&lt;!$j"</f>
        <v>#VALUE!</v>
      </c>
      <c r="DM9" t="e">
        <f>'Codification - type KO'!A58+"'&lt;!$k"</f>
        <v>#VALUE!</v>
      </c>
      <c r="DN9" t="e">
        <f>'Codification - type KO'!B58+"'&lt;!$l"</f>
        <v>#VALUE!</v>
      </c>
      <c r="DO9" t="e">
        <f>'Codification - type KO'!C58+"'&lt;!$m"</f>
        <v>#VALUE!</v>
      </c>
      <c r="DP9" t="e">
        <f>'Codification - type KO'!D58+"'&lt;!$n"</f>
        <v>#VALUE!</v>
      </c>
      <c r="DQ9" t="e">
        <f>'Codification - type KO'!E58+"'&lt;!$o"</f>
        <v>#VALUE!</v>
      </c>
      <c r="DR9" t="e">
        <f>'Codification - type KO'!F58+"'&lt;!$p"</f>
        <v>#VALUE!</v>
      </c>
      <c r="DS9" t="e">
        <f>'Codification - type KO'!G58+"'&lt;!$q"</f>
        <v>#VALUE!</v>
      </c>
      <c r="DT9" t="e">
        <f>'Codification - type KO'!H58+"'&lt;!$r"</f>
        <v>#VALUE!</v>
      </c>
      <c r="DU9" t="e">
        <f>'Codification - type KO'!A59+"'&lt;!$s"</f>
        <v>#VALUE!</v>
      </c>
      <c r="DV9" t="e">
        <f>'Codification - type KO'!B59+"'&lt;!$t"</f>
        <v>#VALUE!</v>
      </c>
      <c r="DW9" t="e">
        <f>'Codification - type KO'!C59+"'&lt;!$u"</f>
        <v>#VALUE!</v>
      </c>
      <c r="DX9" t="e">
        <f>'Codification - type KO'!D59+"'&lt;!$v"</f>
        <v>#VALUE!</v>
      </c>
      <c r="DY9" t="e">
        <f>'Codification - type KO'!E59+"'&lt;!$w"</f>
        <v>#VALUE!</v>
      </c>
      <c r="DZ9" t="e">
        <f>'Codification - type KO'!F59+"'&lt;!$x"</f>
        <v>#VALUE!</v>
      </c>
      <c r="EA9" t="e">
        <f>'Codification - type KO'!G59+"'&lt;!$y"</f>
        <v>#VALUE!</v>
      </c>
      <c r="EB9" t="e">
        <f>'Codification - type KO'!H59+"'&lt;!$z"</f>
        <v>#VALUE!</v>
      </c>
      <c r="EC9" t="e">
        <f>'Codification - type KO'!A60+"'&lt;!${"</f>
        <v>#VALUE!</v>
      </c>
      <c r="ED9" t="e">
        <f>'Codification - type KO'!B60+"'&lt;!$|"</f>
        <v>#VALUE!</v>
      </c>
      <c r="EE9" t="e">
        <f>'Codification - type KO'!C60+"'&lt;!$}"</f>
        <v>#VALUE!</v>
      </c>
      <c r="EF9" t="e">
        <f>'Codification - type KO'!D60+"'&lt;!$~"</f>
        <v>#VALUE!</v>
      </c>
      <c r="EG9" t="e">
        <f>'Codification - type KO'!E60+"'&lt;!%#"</f>
        <v>#VALUE!</v>
      </c>
      <c r="EH9" t="e">
        <f>'Codification - type KO'!F60+"'&lt;!%$"</f>
        <v>#VALUE!</v>
      </c>
      <c r="EI9" t="e">
        <f>'Codification - type KO'!G60+"'&lt;!%%"</f>
        <v>#VALUE!</v>
      </c>
      <c r="EJ9" t="e">
        <f>'Codification - type KO'!H60+"'&lt;!%&amp;"</f>
        <v>#VALUE!</v>
      </c>
      <c r="EK9" t="e">
        <f>'Codification - type KO'!A:A*"'&lt;!%'"</f>
        <v>#VALUE!</v>
      </c>
      <c r="EL9" t="e">
        <f>'Codification - type KO'!B:B*"'&lt;!%("</f>
        <v>#VALUE!</v>
      </c>
      <c r="EM9" t="e">
        <f>'Codification - type KO'!C:C*"'&lt;!%)"</f>
        <v>#VALUE!</v>
      </c>
      <c r="EN9" t="e">
        <f>'Codification - type KO'!D:D*"'&lt;!%."</f>
        <v>#VALUE!</v>
      </c>
      <c r="EO9" t="e">
        <f>'Codification - type KO'!E:E*"'&lt;!%/"</f>
        <v>#VALUE!</v>
      </c>
      <c r="EP9" t="e">
        <f>'Codification - type KO'!F:F*"'&lt;!%0"</f>
        <v>#VALUE!</v>
      </c>
      <c r="EQ9" t="e">
        <f>'Codification - type KO'!G:G*"'&lt;!%1"</f>
        <v>#VALUE!</v>
      </c>
      <c r="ER9" t="e">
        <f>'Codification - type KO'!H:H*"'&lt;!%2"</f>
        <v>#VALUE!</v>
      </c>
      <c r="ES9" t="e">
        <f>'Codification - type KO'!I:I*"'&lt;!%3"</f>
        <v>#VALUE!</v>
      </c>
      <c r="ET9" t="e">
        <f>'Codification - type KO'!J:J*"'&lt;!%4"</f>
        <v>#VALUE!</v>
      </c>
      <c r="EU9" t="e">
        <f>'Codification - type KO'!K:K*"'&lt;!%5"</f>
        <v>#VALUE!</v>
      </c>
      <c r="EV9" t="e">
        <f>'Codification - type KO'!L:L*"'&lt;!%6"</f>
        <v>#VALUE!</v>
      </c>
      <c r="EW9" t="e">
        <f>'Codification - type KO'!M:M*"'&lt;!%7"</f>
        <v>#VALUE!</v>
      </c>
      <c r="EX9" t="e">
        <f>'Codification - type KO'!N:N*"'&lt;!%8"</f>
        <v>#VALUE!</v>
      </c>
      <c r="EY9" t="e">
        <f>'Codification - type KO'!O:O*"'&lt;!%9"</f>
        <v>#VALUE!</v>
      </c>
      <c r="EZ9" t="e">
        <f>'Codification - type KO'!P:P*"'&lt;!%:"</f>
        <v>#VALUE!</v>
      </c>
      <c r="FA9" t="e">
        <f>'Codification - type KO'!Q:Q*"'&lt;!%;"</f>
        <v>#VALUE!</v>
      </c>
      <c r="FB9" t="e">
        <f>'Codification - type KO'!R:R*"'&lt;!%&lt;"</f>
        <v>#VALUE!</v>
      </c>
      <c r="FC9" t="e">
        <f>'Codification - type KO'!S:S*"'&lt;!%="</f>
        <v>#VALUE!</v>
      </c>
      <c r="FD9" t="e">
        <f>'Codification - type KO'!T:T*"'&lt;!%&gt;"</f>
        <v>#VALUE!</v>
      </c>
      <c r="FE9" t="e">
        <f>'Codification - type KO'!U:U*"'&lt;!%?"</f>
        <v>#VALUE!</v>
      </c>
      <c r="FF9" t="e">
        <f>'Codification - type KO'!V:V*"'&lt;!%@"</f>
        <v>#VALUE!</v>
      </c>
      <c r="FG9" t="e">
        <f>'Codification - type KO'!W:W*"'&lt;!%A"</f>
        <v>#VALUE!</v>
      </c>
      <c r="FH9" t="e">
        <f>'Codification - type KO'!X:X*"'&lt;!%B"</f>
        <v>#VALUE!</v>
      </c>
      <c r="FI9" t="e">
        <f>'Codification - type KO'!Y:Y*"'&lt;!%C"</f>
        <v>#VALUE!</v>
      </c>
      <c r="FJ9" t="e">
        <f>'Codification - type KO'!Z:Z*"'&lt;!%D"</f>
        <v>#VALUE!</v>
      </c>
      <c r="FK9" t="e">
        <f>'Codification - type KO'!AA:AA*"'&lt;!%E"</f>
        <v>#VALUE!</v>
      </c>
      <c r="FL9" t="e">
        <f>'Codification - type KO'!AB:AB*"'&lt;!%F"</f>
        <v>#VALUE!</v>
      </c>
      <c r="FM9" t="e">
        <f>'Codification - type KO'!AC:AC*"'&lt;!%G"</f>
        <v>#VALUE!</v>
      </c>
      <c r="FN9" t="e">
        <f>'Codification - type KO'!AD:AD*"'&lt;!%H"</f>
        <v>#VALUE!</v>
      </c>
      <c r="FO9" t="e">
        <f>'Codification - type KO'!AE:AE*"'&lt;!%I"</f>
        <v>#VALUE!</v>
      </c>
      <c r="FP9" t="e">
        <f>'Codification - type KO'!AF:AF*"'&lt;!%J"</f>
        <v>#VALUE!</v>
      </c>
      <c r="FQ9" t="e">
        <f>'Codification - type KO'!AG:AG*"'&lt;!%K"</f>
        <v>#VALUE!</v>
      </c>
      <c r="FR9" t="e">
        <f>'Codification - type KO'!AH:AH*"'&lt;!%L"</f>
        <v>#VALUE!</v>
      </c>
      <c r="FS9" t="e">
        <f>'Codification - type KO'!AI:AI*"'&lt;!%M"</f>
        <v>#VALUE!</v>
      </c>
      <c r="FT9" t="e">
        <f>'Codification - type KO'!AJ:AJ*"'&lt;!%N"</f>
        <v>#VALUE!</v>
      </c>
      <c r="FU9" t="e">
        <f>'Codification - type KO'!AK:AK*"'&lt;!%O"</f>
        <v>#VALUE!</v>
      </c>
      <c r="FV9" t="e">
        <f>'Codification - type KO'!AL:AL*"'&lt;!%P"</f>
        <v>#VALUE!</v>
      </c>
      <c r="FW9" t="e">
        <f>'Codification - type KO'!AM:AM*"'&lt;!%Q"</f>
        <v>#VALUE!</v>
      </c>
      <c r="FX9" t="e">
        <f>'Codification - type KO'!AN:AN*"'&lt;!%R"</f>
        <v>#VALUE!</v>
      </c>
      <c r="FY9" t="e">
        <f>'Codification - type KO'!AO:AO*"'&lt;!%S"</f>
        <v>#VALUE!</v>
      </c>
      <c r="FZ9" t="e">
        <f>'Codification - type KO'!AP:AP*"'&lt;!%T"</f>
        <v>#VALUE!</v>
      </c>
      <c r="GA9" t="e">
        <f>'Codification - type KO'!AQ:AQ*"'&lt;!%U"</f>
        <v>#VALUE!</v>
      </c>
      <c r="GB9" t="e">
        <f>'Codification - type KO'!AR:AR*"'&lt;!%V"</f>
        <v>#VALUE!</v>
      </c>
      <c r="GC9" t="e">
        <f>'Codification - type KO'!AS:AS*"'&lt;!%W"</f>
        <v>#VALUE!</v>
      </c>
      <c r="GD9" t="e">
        <f>'Codification - type KO'!AT:AT*"'&lt;!%X"</f>
        <v>#VALUE!</v>
      </c>
      <c r="GE9" t="e">
        <f>'Codification - type KO'!AU:AU*"'&lt;!%Y"</f>
        <v>#VALUE!</v>
      </c>
      <c r="GF9" t="e">
        <f>'Codification - type KO'!AV:AV*"'&lt;!%Z"</f>
        <v>#VALUE!</v>
      </c>
      <c r="GG9" t="e">
        <f>'Codification - type KO'!AW:AW*"'&lt;!%["</f>
        <v>#VALUE!</v>
      </c>
      <c r="GH9" t="e">
        <f>'Codification - type KO'!AX:AX*"'&lt;!%\"</f>
        <v>#VALUE!</v>
      </c>
      <c r="GI9" t="e">
        <f>'Codification - type KO'!AY:AY*"'&lt;!%]"</f>
        <v>#VALUE!</v>
      </c>
      <c r="GJ9" t="e">
        <f>'Codification - type KO'!AZ:AZ*"'&lt;!%^"</f>
        <v>#VALUE!</v>
      </c>
      <c r="GK9" t="e">
        <f>'Codification - type KO'!BA:BA*"'&lt;!%_"</f>
        <v>#VALUE!</v>
      </c>
      <c r="GL9" t="e">
        <f>'Codification - type KO'!BB:BB*"'&lt;!%`"</f>
        <v>#VALUE!</v>
      </c>
      <c r="GM9" t="e">
        <f>'Codification - type KO'!BC:BC*"'&lt;!%a"</f>
        <v>#VALUE!</v>
      </c>
      <c r="GN9" t="e">
        <f>'Codification - type KO'!BD:BD*"'&lt;!%b"</f>
        <v>#VALUE!</v>
      </c>
      <c r="GO9" t="e">
        <f>'Codification - type KO'!BE:BE*"'&lt;!%c"</f>
        <v>#VALUE!</v>
      </c>
      <c r="GP9" t="e">
        <f>'Codification - type KO'!BF:BF*"'&lt;!%d"</f>
        <v>#VALUE!</v>
      </c>
      <c r="GQ9" t="e">
        <f>'Codification - type KO'!1:1-"'&lt;!%e"</f>
        <v>#VALUE!</v>
      </c>
      <c r="GR9" t="e">
        <f>'Codification - type KO'!2:2-"'&lt;!%f"</f>
        <v>#VALUE!</v>
      </c>
      <c r="GS9" t="e">
        <f>'Codification - type KO'!3:3-"'&lt;!%g"</f>
        <v>#VALUE!</v>
      </c>
      <c r="GT9" t="e">
        <f>'Codification - type KO'!4:4-"'&lt;!%h"</f>
        <v>#VALUE!</v>
      </c>
      <c r="GU9" t="e">
        <f>'Codification - type KO'!5:5-"'&lt;!%i"</f>
        <v>#VALUE!</v>
      </c>
      <c r="GV9" t="e">
        <f>'Codification - type KO'!6:6-"'&lt;!%j"</f>
        <v>#VALUE!</v>
      </c>
      <c r="GW9" t="e">
        <f>'Codification - type KO'!7:7-"'&lt;!%k"</f>
        <v>#VALUE!</v>
      </c>
      <c r="GX9" t="e">
        <f>'Codification - type KO'!8:8-"'&lt;!%l"</f>
        <v>#VALUE!</v>
      </c>
      <c r="GY9" t="e">
        <f>'Codification - type KO'!9:9-"'&lt;!%m"</f>
        <v>#VALUE!</v>
      </c>
      <c r="GZ9" t="e">
        <f>'Codification - type KO'!10:10-"'&lt;!%n"</f>
        <v>#VALUE!</v>
      </c>
      <c r="HA9" t="e">
        <f>'Codification - type KO'!11:11-"'&lt;!%o"</f>
        <v>#VALUE!</v>
      </c>
      <c r="HB9" t="e">
        <f>'Codification - type KO'!12:12-"'&lt;!%p"</f>
        <v>#VALUE!</v>
      </c>
      <c r="HC9" t="e">
        <f>'Codification - type KO'!13:13-"'&lt;!%q"</f>
        <v>#VALUE!</v>
      </c>
      <c r="HD9" t="e">
        <f>'Codification - type KO'!14:14-"'&lt;!%r"</f>
        <v>#VALUE!</v>
      </c>
      <c r="HE9" t="e">
        <f>'Codification - type KO'!15:15-"'&lt;!%s"</f>
        <v>#VALUE!</v>
      </c>
      <c r="HF9" t="e">
        <f>'Codification - type KO'!16:16-"'&lt;!%t"</f>
        <v>#VALUE!</v>
      </c>
      <c r="HG9" t="e">
        <f>'Codification - type KO'!17:17-"'&lt;!%u"</f>
        <v>#VALUE!</v>
      </c>
      <c r="HH9" t="e">
        <f>'Codification - type KO'!18:18-"'&lt;!%v"</f>
        <v>#VALUE!</v>
      </c>
      <c r="HI9" t="e">
        <f>'Codification - type KO'!19:19-"'&lt;!%w"</f>
        <v>#VALUE!</v>
      </c>
      <c r="HJ9" t="e">
        <f>'Codification - type KO'!20:20-"'&lt;!%x"</f>
        <v>#VALUE!</v>
      </c>
      <c r="HK9" t="e">
        <f>'Codification - type KO'!21:21-"'&lt;!%y"</f>
        <v>#VALUE!</v>
      </c>
      <c r="HL9" t="e">
        <f>'Codification - type KO'!22:22-"'&lt;!%z"</f>
        <v>#VALUE!</v>
      </c>
      <c r="HM9" t="e">
        <f>'Codification - type KO'!23:23-"'&lt;!%{"</f>
        <v>#VALUE!</v>
      </c>
      <c r="HN9" t="e">
        <f>'Codification - type KO'!24:24-"'&lt;!%|"</f>
        <v>#VALUE!</v>
      </c>
      <c r="HO9" t="e">
        <f>'Codification - type KO'!25:25-"'&lt;!%}"</f>
        <v>#VALUE!</v>
      </c>
      <c r="HP9" t="e">
        <f>'Codification - type KO'!26:26-"'&lt;!%~"</f>
        <v>#VALUE!</v>
      </c>
      <c r="HQ9" t="e">
        <f>'Codification - type KO'!27:27-"'&lt;!&amp;#"</f>
        <v>#VALUE!</v>
      </c>
      <c r="HR9" t="e">
        <f>'Codification - type KO'!28:28-"'&lt;!&amp;$"</f>
        <v>#VALUE!</v>
      </c>
      <c r="HS9" t="e">
        <f>'Codification - type KO'!29:29-"'&lt;!&amp;%"</f>
        <v>#VALUE!</v>
      </c>
      <c r="HT9" t="e">
        <f>'Codification - type KO'!30:30-"'&lt;!&amp;&amp;"</f>
        <v>#VALUE!</v>
      </c>
      <c r="HU9" t="e">
        <f>'Codification - type KO'!31:31-"'&lt;!&amp;'"</f>
        <v>#VALUE!</v>
      </c>
      <c r="HV9" t="e">
        <f>'Codification - type KO'!32:32-"'&lt;!&amp;("</f>
        <v>#VALUE!</v>
      </c>
      <c r="HW9" t="e">
        <f>'Codification - type KO'!33:33-"'&lt;!&amp;)"</f>
        <v>#VALUE!</v>
      </c>
      <c r="HX9" t="e">
        <f>'Codification - type KO'!34:34-"'&lt;!&amp;."</f>
        <v>#VALUE!</v>
      </c>
      <c r="HY9" t="e">
        <f>'Codification - type KO'!35:35-"'&lt;!&amp;/"</f>
        <v>#VALUE!</v>
      </c>
      <c r="HZ9" t="e">
        <f>'Codification - type KO'!36:36-"'&lt;!&amp;0"</f>
        <v>#VALUE!</v>
      </c>
      <c r="IA9" t="e">
        <f>'Codification - type KO'!37:37-"'&lt;!&amp;1"</f>
        <v>#VALUE!</v>
      </c>
      <c r="IB9" t="e">
        <f>'Codification - type KO'!38:38-"'&lt;!&amp;2"</f>
        <v>#VALUE!</v>
      </c>
      <c r="IC9" t="e">
        <f>'Codification - type KO'!39:39-"'&lt;!&amp;3"</f>
        <v>#VALUE!</v>
      </c>
      <c r="ID9" t="e">
        <f>'Codification - type KO'!40:40-"'&lt;!&amp;4"</f>
        <v>#VALUE!</v>
      </c>
      <c r="IE9" t="e">
        <f>'Codification - type KO'!41:41-"'&lt;!&amp;5"</f>
        <v>#VALUE!</v>
      </c>
      <c r="IF9" t="e">
        <f>'Codification - type KO'!42:42-"'&lt;!&amp;6"</f>
        <v>#VALUE!</v>
      </c>
      <c r="IG9" t="e">
        <f>'Codification - type KO'!43:43-"'&lt;!&amp;7"</f>
        <v>#VALUE!</v>
      </c>
      <c r="IH9" t="e">
        <f>'Codification - type KO'!44:44-"'&lt;!&amp;8"</f>
        <v>#VALUE!</v>
      </c>
      <c r="II9" t="e">
        <f>'Codification - type KO'!45:45-"'&lt;!&amp;9"</f>
        <v>#VALUE!</v>
      </c>
      <c r="IJ9" t="e">
        <f>'Codification - type KO'!46:46-"'&lt;!&amp;:"</f>
        <v>#VALUE!</v>
      </c>
      <c r="IK9" t="e">
        <f>'Codification - type KO'!47:47-"'&lt;!&amp;;"</f>
        <v>#VALUE!</v>
      </c>
      <c r="IL9" t="e">
        <f>'Codification - type KO'!48:48-"'&lt;!&amp;&lt;"</f>
        <v>#VALUE!</v>
      </c>
      <c r="IM9" t="e">
        <f>'Codification - type KO'!49:49-"'&lt;!&amp;="</f>
        <v>#VALUE!</v>
      </c>
      <c r="IN9" t="e">
        <f>'Codification - type KO'!50:50-"'&lt;!&amp;&gt;"</f>
        <v>#VALUE!</v>
      </c>
      <c r="IO9" t="e">
        <f>'Codification - type KO'!51:51-"'&lt;!&amp;?"</f>
        <v>#VALUE!</v>
      </c>
      <c r="IP9" t="e">
        <f>'Codification - type KO'!52:52-"'&lt;!&amp;@"</f>
        <v>#VALUE!</v>
      </c>
      <c r="IQ9" t="e">
        <f>'Codification - type KO'!53:53-"'&lt;!&amp;A"</f>
        <v>#VALUE!</v>
      </c>
      <c r="IR9" t="e">
        <f>'Codification - type KO'!54:54-"'&lt;!&amp;B"</f>
        <v>#VALUE!</v>
      </c>
      <c r="IS9" t="e">
        <f>'Codification - type KO'!55:55-"'&lt;!&amp;C"</f>
        <v>#VALUE!</v>
      </c>
      <c r="IT9" t="e">
        <f>'Codification - type KO'!56:56-"'&lt;!&amp;D"</f>
        <v>#VALUE!</v>
      </c>
      <c r="IU9" t="e">
        <f>'Codification - type KO'!57:57-"'&lt;!&amp;E"</f>
        <v>#VALUE!</v>
      </c>
      <c r="IV9" t="e">
        <f>'Codification - type KO'!58:58-"'&lt;!&amp;F"</f>
        <v>#VALUE!</v>
      </c>
    </row>
    <row r="10" spans="1:256">
      <c r="F10" t="e">
        <f>'Codification - type KO'!59:59-"'&lt;!&amp;G"</f>
        <v>#VALUE!</v>
      </c>
      <c r="G10" t="e">
        <f>'Codification - type KO'!60:60-"'&lt;!&amp;H"</f>
        <v>#VALUE!</v>
      </c>
      <c r="H10" t="e">
        <f>'Codification - type KO'!61:61-"'&lt;!&amp;I"</f>
        <v>#VALUE!</v>
      </c>
      <c r="I10" t="e">
        <f>'Codification - type KO'!62:62-"'&lt;!&amp;J"</f>
        <v>#VALUE!</v>
      </c>
      <c r="J10" t="e">
        <f>'Codification - type KO'!63:63-"'&lt;!&amp;K"</f>
        <v>#VALUE!</v>
      </c>
      <c r="K10" t="e">
        <f>'Codification - type KO'!64:64-"'&lt;!&amp;L"</f>
        <v>#VALUE!</v>
      </c>
      <c r="L10" t="e">
        <f>'Codification - type KO'!65:65-"'&lt;!&amp;M"</f>
        <v>#VALUE!</v>
      </c>
      <c r="M10" t="e">
        <f>'Codification - type KO'!66:66-"'&lt;!&amp;N"</f>
        <v>#VALUE!</v>
      </c>
      <c r="N10" t="e">
        <f>'Codification - type KO'!67:67-"'&lt;!&amp;O"</f>
        <v>#VALUE!</v>
      </c>
      <c r="O10" t="e">
        <f>'Codification - type KO'!68:68-"'&lt;!&amp;P"</f>
        <v>#VALUE!</v>
      </c>
      <c r="P10" t="e">
        <f>'Codification - type KO'!69:69-"'&lt;!&amp;Q"</f>
        <v>#VALUE!</v>
      </c>
      <c r="Q10" t="e">
        <f>'Codification - type KO'!70:70-"'&lt;!&amp;R"</f>
        <v>#VALUE!</v>
      </c>
      <c r="R10" t="e">
        <f>'Codification - type KO'!71:71-"'&lt;!&amp;S"</f>
        <v>#VALUE!</v>
      </c>
      <c r="S10" t="e">
        <f>'Codification - type KO'!72:72-"'&lt;!&amp;T"</f>
        <v>#VALUE!</v>
      </c>
      <c r="T10" t="e">
        <f>'Codification - type KO'!73:73-"'&lt;!&amp;U"</f>
        <v>#VALUE!</v>
      </c>
      <c r="U10" t="e">
        <f>'Codification - type KO'!74:74-"'&lt;!&amp;V"</f>
        <v>#VALUE!</v>
      </c>
      <c r="V10" t="e">
        <f>'Codification - type KO'!75:75-"'&lt;!&amp;W"</f>
        <v>#VALUE!</v>
      </c>
      <c r="W10" t="e">
        <f>'Codification - type KO'!76:76-"'&lt;!&amp;X"</f>
        <v>#VALUE!</v>
      </c>
      <c r="X10" t="e">
        <f>'Codification - type KO'!77:77-"'&lt;!&amp;Y"</f>
        <v>#VALUE!</v>
      </c>
      <c r="Y10" t="e">
        <f>'Codification - type KO'!78:78-"'&lt;!&amp;Z"</f>
        <v>#VALUE!</v>
      </c>
      <c r="Z10" t="e">
        <f>'Codification - type KO'!79:79-"'&lt;!&amp;["</f>
        <v>#VALUE!</v>
      </c>
      <c r="AA10" t="e">
        <f>'Codification - type KO'!80:80-"'&lt;!&amp;\"</f>
        <v>#VALUE!</v>
      </c>
      <c r="AB10" t="e">
        <f>'Codification - type KO'!81:81-"'&lt;!&amp;]"</f>
        <v>#VALUE!</v>
      </c>
      <c r="AC10" t="e">
        <f>'Codification - type KO'!82:82-"'&lt;!&amp;^"</f>
        <v>#VALUE!</v>
      </c>
      <c r="AD10" t="e">
        <f>'Codification - type KO'!83:83-"'&lt;!&amp;_"</f>
        <v>#VALUE!</v>
      </c>
      <c r="AE10" t="e">
        <f>'Codification - type KO'!84:84-"'&lt;!&amp;`"</f>
        <v>#VALUE!</v>
      </c>
      <c r="AF10" t="e">
        <f>'Codification - type KO'!85:85-"'&lt;!&amp;a"</f>
        <v>#VALUE!</v>
      </c>
      <c r="AG10" t="e">
        <f>'Codification - type KO'!86:86-"'&lt;!&amp;b"</f>
        <v>#VALUE!</v>
      </c>
      <c r="AH10" t="e">
        <f>'Codification - type KO'!87:87-"'&lt;!&amp;c"</f>
        <v>#VALUE!</v>
      </c>
      <c r="AI10" t="e">
        <f>'Codification - type KO'!88:88-"'&lt;!&amp;d"</f>
        <v>#VALUE!</v>
      </c>
      <c r="AJ10" t="e">
        <f>'Codification - type KO'!89:89-"'&lt;!&amp;e"</f>
        <v>#VALUE!</v>
      </c>
      <c r="AK10" t="e">
        <f>'Codification - type KO'!90:90-"'&lt;!&amp;f"</f>
        <v>#VALUE!</v>
      </c>
      <c r="AL10" t="e">
        <f>'Codification - type KO'!91:91-"'&lt;!&amp;g"</f>
        <v>#VALUE!</v>
      </c>
      <c r="AM10" t="e">
        <f>'Codification - type KO'!92:92-"'&lt;!&amp;h"</f>
        <v>#VALUE!</v>
      </c>
      <c r="AN10" t="e">
        <f>'Codification - type KO'!93:93-"'&lt;!&amp;i"</f>
        <v>#VALUE!</v>
      </c>
      <c r="AO10" t="e">
        <f>'Codification - type KO'!94:94-"'&lt;!&amp;j"</f>
        <v>#VALUE!</v>
      </c>
      <c r="AP10" t="e">
        <f>'Codification - type KO'!95:95-"'&lt;!&amp;k"</f>
        <v>#VALUE!</v>
      </c>
      <c r="AQ10" t="e">
        <f>'Codification - type KO'!96:96-"'&lt;!&amp;l"</f>
        <v>#VALUE!</v>
      </c>
      <c r="AR10" t="e">
        <f>'Codification - type KO'!97:97-"'&lt;!&amp;m"</f>
        <v>#VALUE!</v>
      </c>
      <c r="AS10" t="e">
        <f>'Codification - type KO'!98:98-"'&lt;!&amp;n"</f>
        <v>#VALUE!</v>
      </c>
      <c r="AT10" t="e">
        <f>'Codification - type KO'!99:99-"'&lt;!&amp;o"</f>
        <v>#VALUE!</v>
      </c>
      <c r="AU10" t="e">
        <f>'Codification - type KO'!100:100-"'&lt;!&amp;p"</f>
        <v>#VALUE!</v>
      </c>
      <c r="AV10" t="e">
        <f>'Codification - type KO'!101:101-"'&lt;!&amp;q"</f>
        <v>#VALUE!</v>
      </c>
      <c r="AW10" t="e">
        <f>'Codification - type KO'!102:102-"'&lt;!&amp;r"</f>
        <v>#VALUE!</v>
      </c>
      <c r="AX10" t="e">
        <f>'Codification - type KO'!103:103-"'&lt;!&amp;s"</f>
        <v>#VALUE!</v>
      </c>
      <c r="AY10" t="e">
        <f>'Codification - type KO'!104:104-"'&lt;!&amp;t"</f>
        <v>#VALUE!</v>
      </c>
      <c r="AZ10" t="e">
        <f>'Codification - type KO'!105:105-"'&lt;!&amp;u"</f>
        <v>#VALUE!</v>
      </c>
      <c r="BA10" t="e">
        <f>'Codification - type KO'!106:106-"'&lt;!&amp;v"</f>
        <v>#VALUE!</v>
      </c>
      <c r="BB10" t="e">
        <f>'Codification - type KO'!107:107-"'&lt;!&amp;w"</f>
        <v>#VALUE!</v>
      </c>
      <c r="BC10" t="e">
        <f>'Codification - type KO'!108:108-"'&lt;!&amp;x"</f>
        <v>#VALUE!</v>
      </c>
      <c r="BD10" t="e">
        <f>'Codification - type KO'!109:109-"'&lt;!&amp;y"</f>
        <v>#VALUE!</v>
      </c>
      <c r="BE10" t="e">
        <f>'Codification - type KO'!110:110-"'&lt;!&amp;z"</f>
        <v>#VALUE!</v>
      </c>
      <c r="BF10" t="e">
        <f>'Codification - type KO'!111:111-"'&lt;!&amp;{"</f>
        <v>#VALUE!</v>
      </c>
      <c r="BG10" t="e">
        <f>'Codification - type KO'!112:112-"'&lt;!&amp;|"</f>
        <v>#VALUE!</v>
      </c>
      <c r="BH10" t="e">
        <f>'Codification - type KO'!113:113-"'&lt;!&amp;}"</f>
        <v>#VALUE!</v>
      </c>
      <c r="BI10" t="e">
        <f>'Codification - type KO'!114:114-"'&lt;!&amp;~"</f>
        <v>#VALUE!</v>
      </c>
      <c r="BJ10" t="e">
        <f>'Codification - type KO'!115:115-"'&lt;!'#"</f>
        <v>#VALUE!</v>
      </c>
      <c r="BK10" t="e">
        <f>'Codification - type KO'!116:116-"'&lt;!'$"</f>
        <v>#VALUE!</v>
      </c>
      <c r="BL10" t="e">
        <f>'Codification - type KO'!117:117-"'&lt;!'%"</f>
        <v>#VALUE!</v>
      </c>
      <c r="BM10" t="e">
        <f>'Codification - type KO'!118:118-"'&lt;!'&amp;"</f>
        <v>#VALUE!</v>
      </c>
      <c r="BN10" t="e">
        <f>'Codification - type KO'!119:119-"'&lt;!''"</f>
        <v>#VALUE!</v>
      </c>
      <c r="BO10" t="e">
        <f>'Codification - type KO'!120:120-"'&lt;!'("</f>
        <v>#VALUE!</v>
      </c>
      <c r="BP10" t="e">
        <f>'Codification - type KO'!121:121-"'&lt;!')"</f>
        <v>#VALUE!</v>
      </c>
      <c r="BQ10" t="e">
        <f>'Codification - type KO'!122:122-"'&lt;!'."</f>
        <v>#VALUE!</v>
      </c>
      <c r="BR10" t="e">
        <f>'Codification - type KO'!123:123-"'&lt;!'/"</f>
        <v>#VALUE!</v>
      </c>
      <c r="BS10" t="e">
        <f>'Codification - type KO'!124:124-"'&lt;!'0"</f>
        <v>#VALUE!</v>
      </c>
      <c r="BT10" t="e">
        <f>'Codification - type KO'!125:125-"'&lt;!'1"</f>
        <v>#VALUE!</v>
      </c>
      <c r="BU10" t="e">
        <f>'Codification - type KO'!126:126-"'&lt;!'2"</f>
        <v>#VALUE!</v>
      </c>
      <c r="BV10" t="e">
        <f>'Codification - type KO'!127:127-"'&lt;!'3"</f>
        <v>#VALUE!</v>
      </c>
      <c r="BW10" t="e">
        <f>'Codification - type KO'!128:128-"'&lt;!'4"</f>
        <v>#VALUE!</v>
      </c>
      <c r="BX10" t="e">
        <f>'Codification - type KO'!129:129-"'&lt;!'5"</f>
        <v>#VALUE!</v>
      </c>
      <c r="BY10" t="e">
        <f>'Codification - type KO'!130:130-"'&lt;!'6"</f>
        <v>#VALUE!</v>
      </c>
      <c r="BZ10" t="e">
        <f>'Codification - type KO'!131:131-"'&lt;!'7"</f>
        <v>#VALUE!</v>
      </c>
      <c r="CA10" t="e">
        <f>'Codification - type KO'!132:132-"'&lt;!'8"</f>
        <v>#VALUE!</v>
      </c>
      <c r="CB10" t="e">
        <f>'Codification - type KO'!133:133-"'&lt;!'9"</f>
        <v>#VALUE!</v>
      </c>
      <c r="CC10" t="e">
        <f>'Codification - type KO'!134:134-"'&lt;!':"</f>
        <v>#VALUE!</v>
      </c>
      <c r="CD10" t="e">
        <f>'Codification - type KO'!135:135-"'&lt;!';"</f>
        <v>#VALUE!</v>
      </c>
      <c r="CE10" t="e">
        <f>'Codification - type KO'!136:136-"'&lt;!'&lt;"</f>
        <v>#VALUE!</v>
      </c>
      <c r="CF10" t="e">
        <f>'Codification - type KO'!137:137-"'&lt;!'="</f>
        <v>#VALUE!</v>
      </c>
      <c r="CG10" t="e">
        <f>'Codification - type KO'!138:138-"'&lt;!'&gt;"</f>
        <v>#VALUE!</v>
      </c>
      <c r="CH10" t="e">
        <f>'Codification - type KO'!139:139-"'&lt;!'?"</f>
        <v>#VALUE!</v>
      </c>
      <c r="CI10" t="e">
        <f>'Codification - type KO'!140:140-"'&lt;!'@"</f>
        <v>#VALUE!</v>
      </c>
      <c r="CJ10" t="e">
        <f>'Codification - type KO'!141:141-"'&lt;!'A"</f>
        <v>#VALUE!</v>
      </c>
      <c r="CK10" t="e">
        <f>'Codification - type KO'!142:142-"'&lt;!'B"</f>
        <v>#VALUE!</v>
      </c>
      <c r="CL10" t="e">
        <f>'Codification - type KO'!143:143-"'&lt;!'C"</f>
        <v>#VALUE!</v>
      </c>
      <c r="CM10" t="e">
        <f>'Codification - type KO'!144:144-"'&lt;!'D"</f>
        <v>#VALUE!</v>
      </c>
      <c r="CN10" t="e">
        <f>'Codification - type KO'!145:145-"'&lt;!'E"</f>
        <v>#VALUE!</v>
      </c>
      <c r="CO10" t="e">
        <f>'Codification - type KO'!146:146-"'&lt;!'F"</f>
        <v>#VALUE!</v>
      </c>
      <c r="CP10" t="e">
        <f>'Codification - type KO'!147:147-"'&lt;!'G"</f>
        <v>#VALUE!</v>
      </c>
      <c r="CQ10" t="e">
        <f>'Codification - type KO'!148:148-"'&lt;!'H"</f>
        <v>#VALUE!</v>
      </c>
      <c r="CR10" t="e">
        <f>'Codification - type KO'!149:149-"'&lt;!'I"</f>
        <v>#VALUE!</v>
      </c>
      <c r="CS10" t="e">
        <f>'Codification - type KO'!150:150-"'&lt;!'J"</f>
        <v>#VALUE!</v>
      </c>
      <c r="CT10" t="e">
        <f>'Codification - type KO'!151:151-"'&lt;!'K"</f>
        <v>#VALUE!</v>
      </c>
      <c r="CU10" t="e">
        <f>'Codification - type KO'!152:152-"'&lt;!'L"</f>
        <v>#VALUE!</v>
      </c>
      <c r="CV10" t="e">
        <f>'Codification - type KO'!153:153-"'&lt;!'M"</f>
        <v>#VALUE!</v>
      </c>
      <c r="CW10" t="e">
        <f>'Codification - type KO'!154:154-"'&lt;!'N"</f>
        <v>#VALUE!</v>
      </c>
      <c r="CX10" t="e">
        <f>'Codification - type KO'!155:155-"'&lt;!'O"</f>
        <v>#VALUE!</v>
      </c>
      <c r="CY10" t="e">
        <f>'Codification - type KO'!156:156-"'&lt;!'P"</f>
        <v>#VALUE!</v>
      </c>
      <c r="CZ10" t="e">
        <f>'Codification - type KO'!157:157-"'&lt;!'Q"</f>
        <v>#VALUE!</v>
      </c>
      <c r="DA10" t="e">
        <f>'Codification - type KO'!158:158-"'&lt;!'R"</f>
        <v>#VALUE!</v>
      </c>
      <c r="DB10" t="e">
        <f>'Codification - type KO'!159:159-"'&lt;!'S"</f>
        <v>#VALUE!</v>
      </c>
      <c r="DC10" t="e">
        <f>'Codification - type KO'!160:160-"'&lt;!'T"</f>
        <v>#VALUE!</v>
      </c>
      <c r="DD10" t="e">
        <f>'Codification - type KO'!161:161-"'&lt;!'U"</f>
        <v>#VALUE!</v>
      </c>
      <c r="DE10" t="e">
        <f>'Codification - type KO'!162:162-"'&lt;!'V"</f>
        <v>#VALUE!</v>
      </c>
      <c r="DF10" t="e">
        <f>'Codification - type KO'!163:163-"'&lt;!'W"</f>
        <v>#VALUE!</v>
      </c>
      <c r="DG10" t="e">
        <f>'Codification - type KO'!164:164-"'&lt;!'X"</f>
        <v>#VALUE!</v>
      </c>
      <c r="DH10" t="e">
        <f>'Codification - type KO'!165:165-"'&lt;!'Y"</f>
        <v>#VALUE!</v>
      </c>
      <c r="DI10" t="e">
        <f>'Codification - type KO'!166:166-"'&lt;!'Z"</f>
        <v>#VALUE!</v>
      </c>
      <c r="DJ10" t="e">
        <f>'Codification - type KO'!167:167-"'&lt;!'["</f>
        <v>#VALUE!</v>
      </c>
      <c r="DK10" t="e">
        <f>'Codification - type KO'!168:168-"'&lt;!'\"</f>
        <v>#VALUE!</v>
      </c>
      <c r="DL10" t="e">
        <f>'Codification - type KO'!169:169-"'&lt;!']"</f>
        <v>#VALUE!</v>
      </c>
      <c r="DM10" t="e">
        <f>'Codification - type KO'!170:170-"'&lt;!'^"</f>
        <v>#VALUE!</v>
      </c>
      <c r="DN10" t="e">
        <f>'Codification - type KO'!171:171-"'&lt;!'_"</f>
        <v>#VALUE!</v>
      </c>
      <c r="DO10" t="e">
        <f>'Codification - type KO'!172:172-"'&lt;!'`"</f>
        <v>#VALUE!</v>
      </c>
      <c r="DP10" t="e">
        <f>'Codification - type KO'!173:173-"'&lt;!'a"</f>
        <v>#VALUE!</v>
      </c>
      <c r="DQ10" t="e">
        <f>'Codification - type KO'!174:174-"'&lt;!'b"</f>
        <v>#VALUE!</v>
      </c>
      <c r="DR10" t="e">
        <f>'Codification - type KO'!175:175-"'&lt;!'c"</f>
        <v>#VALUE!</v>
      </c>
      <c r="DS10" t="e">
        <f>'Codification - type KO'!176:176-"'&lt;!'d"</f>
        <v>#VALUE!</v>
      </c>
      <c r="DT10" t="e">
        <f>'Codification - type KO'!177:177-"'&lt;!'e"</f>
        <v>#VALUE!</v>
      </c>
      <c r="DU10" t="e">
        <f>'Codification - type KO'!178:178-"'&lt;!'f"</f>
        <v>#VALUE!</v>
      </c>
      <c r="DV10" t="e">
        <f>'Codification - type KO'!179:179-"'&lt;!'g"</f>
        <v>#VALUE!</v>
      </c>
      <c r="DW10" t="e">
        <f>'Codification - type KO'!180:180-"'&lt;!'h"</f>
        <v>#VALUE!</v>
      </c>
      <c r="DX10" t="e">
        <f>'Codification - type KO'!181:181-"'&lt;!'i"</f>
        <v>#VALUE!</v>
      </c>
      <c r="DY10" t="e">
        <f>'Codification - type KO'!182:182-"'&lt;!'j"</f>
        <v>#VALUE!</v>
      </c>
      <c r="DZ10" t="e">
        <f>'Codification - type KO'!183:183-"'&lt;!'k"</f>
        <v>#VALUE!</v>
      </c>
      <c r="EA10" t="e">
        <f>'Codification - type KO'!184:184-"'&lt;!'l"</f>
        <v>#VALUE!</v>
      </c>
      <c r="EB10" t="e">
        <f>'Codification - type KO'!185:185-"'&lt;!'m"</f>
        <v>#VALUE!</v>
      </c>
      <c r="EC10" t="e">
        <f>'Codification - type KO'!186:186-"'&lt;!'n"</f>
        <v>#VALUE!</v>
      </c>
      <c r="ED10" t="e">
        <f>'Codification - type KO'!187:187-"'&lt;!'o"</f>
        <v>#VALUE!</v>
      </c>
      <c r="EE10" t="e">
        <f>'Codification - type KO'!188:188-"'&lt;!'p"</f>
        <v>#VALUE!</v>
      </c>
      <c r="EF10" t="e">
        <f>'Codification - type KO'!189:189-"'&lt;!'q"</f>
        <v>#VALUE!</v>
      </c>
      <c r="EG10" t="e">
        <f>'Codification - type KO'!190:190-"'&lt;!'r"</f>
        <v>#VALUE!</v>
      </c>
      <c r="EH10" t="e">
        <f>'Codification - type KO'!191:191-"'&lt;!'s"</f>
        <v>#VALUE!</v>
      </c>
      <c r="EI10" t="e">
        <f>'Codification - type KO'!192:192-"'&lt;!'t"</f>
        <v>#VALUE!</v>
      </c>
      <c r="EJ10" t="e">
        <f>'Codification - type KO'!193:193-"'&lt;!'u"</f>
        <v>#VALUE!</v>
      </c>
      <c r="EK10" t="e">
        <f>'Codification - type KO'!194:194-"'&lt;!'v"</f>
        <v>#VALUE!</v>
      </c>
      <c r="EL10" t="e">
        <f>'Codification - type KO'!195:195-"'&lt;!'w"</f>
        <v>#VALUE!</v>
      </c>
      <c r="EM10" t="e">
        <f>'Codification - type KO'!196:196-"'&lt;!'x"</f>
        <v>#VALUE!</v>
      </c>
      <c r="EN10" t="e">
        <f>'Codification - type KO'!197:197-"'&lt;!'y"</f>
        <v>#VALUE!</v>
      </c>
      <c r="EO10" t="e">
        <f>'Codification - type KO'!198:198-"'&lt;!'z"</f>
        <v>#VALUE!</v>
      </c>
      <c r="EP10" t="e">
        <f>'Codification - type KO'!199:199-"'&lt;!'{"</f>
        <v>#VALUE!</v>
      </c>
      <c r="EQ10" t="e">
        <f>'Codification - type KO'!200:200-"'&lt;!'|"</f>
        <v>#VALUE!</v>
      </c>
      <c r="ER10" t="e">
        <f>'Codification - type KO'!201:201-"'&lt;!'}"</f>
        <v>#VALUE!</v>
      </c>
      <c r="ES10" t="e">
        <f>'Codification - type KO'!202:202-"'&lt;!'~"</f>
        <v>#VALUE!</v>
      </c>
      <c r="ET10" t="e">
        <f>'Codification - type KO'!203:203-"'&lt;!(#"</f>
        <v>#VALUE!</v>
      </c>
      <c r="EU10" t="e">
        <f>'Codification - type KO'!204:204-"'&lt;!($"</f>
        <v>#VALUE!</v>
      </c>
      <c r="EV10" t="e">
        <f>'Codification - type KO'!205:205-"'&lt;!(%"</f>
        <v>#VALUE!</v>
      </c>
      <c r="EW10" t="e">
        <f>'Codification - type KO'!206:206-"'&lt;!(&amp;"</f>
        <v>#VALUE!</v>
      </c>
      <c r="EX10" t="e">
        <f>'Codification - type KO'!207:207-"'&lt;!('"</f>
        <v>#VALUE!</v>
      </c>
      <c r="EY10" t="e">
        <f>'Codification - type KO'!208:208-"'&lt;!(("</f>
        <v>#VALUE!</v>
      </c>
      <c r="EZ10" t="e">
        <f>'Codification - type KO'!209:209-"'&lt;!()"</f>
        <v>#VALUE!</v>
      </c>
      <c r="FA10" t="e">
        <f>'Codification - type KO'!210:210-"'&lt;!(."</f>
        <v>#VALUE!</v>
      </c>
      <c r="FB10" t="e">
        <f>'Codification - type KO'!211:211-"'&lt;!(/"</f>
        <v>#VALUE!</v>
      </c>
      <c r="FC10" t="e">
        <f>'Codification - type KO'!212:212-"'&lt;!(0"</f>
        <v>#VALUE!</v>
      </c>
      <c r="FD10" t="e">
        <f>'Codification - type KO'!213:213-"'&lt;!(1"</f>
        <v>#VALUE!</v>
      </c>
      <c r="FE10" t="e">
        <f>'Codification - type KO'!214:214-"'&lt;!(2"</f>
        <v>#VALUE!</v>
      </c>
      <c r="FF10" t="e">
        <f>'Codification - type KO'!215:215-"'&lt;!(3"</f>
        <v>#VALUE!</v>
      </c>
      <c r="FG10" t="e">
        <f>'Codification - type KO'!216:216-"'&lt;!(4"</f>
        <v>#VALUE!</v>
      </c>
      <c r="FH10" t="e">
        <f>'Codification - type KO'!217:217-"'&lt;!(5"</f>
        <v>#VALUE!</v>
      </c>
      <c r="FI10" t="e">
        <f>'Codification - type KO'!218:218-"'&lt;!(6"</f>
        <v>#VALUE!</v>
      </c>
      <c r="FJ10" t="e">
        <f>'Codification - type KO'!219:219-"'&lt;!(7"</f>
        <v>#VALUE!</v>
      </c>
      <c r="FK10" t="e">
        <f>'Codification - type KO'!220:220-"'&lt;!(8"</f>
        <v>#VALUE!</v>
      </c>
      <c r="FL10" t="e">
        <f>'Codification - type KO'!221:221-"'&lt;!(9"</f>
        <v>#VALUE!</v>
      </c>
      <c r="FM10" t="e">
        <f>'Codification - type KO'!222:222-"'&lt;!(:"</f>
        <v>#VALUE!</v>
      </c>
      <c r="FN10" t="e">
        <f>'Codification - type KO'!223:223-"'&lt;!(;"</f>
        <v>#VALUE!</v>
      </c>
      <c r="FO10" t="e">
        <f>'Codification - type KO'!224:224-"'&lt;!(&lt;"</f>
        <v>#VALUE!</v>
      </c>
      <c r="FP10" t="e">
        <f>'Codification - type KO'!225:225-"'&lt;!(="</f>
        <v>#VALUE!</v>
      </c>
      <c r="FQ10" t="e">
        <f>'Codification - type KO'!226:226-"'&lt;!(&gt;"</f>
        <v>#VALUE!</v>
      </c>
      <c r="FR10" t="e">
        <f>'Codification - type KO'!227:227-"'&lt;!(?"</f>
        <v>#VALUE!</v>
      </c>
      <c r="FS10" t="e">
        <f>'Codification - type KO'!228:228-"'&lt;!(@"</f>
        <v>#VALUE!</v>
      </c>
      <c r="FT10" t="e">
        <f>'Codification - type KO'!229:229-"'&lt;!(A"</f>
        <v>#VALUE!</v>
      </c>
      <c r="FU10" t="e">
        <f>'Codification - type KO'!230:230-"'&lt;!(B"</f>
        <v>#VALUE!</v>
      </c>
      <c r="FV10" t="e">
        <f>'Codification - type KO'!231:231-"'&lt;!(C"</f>
        <v>#VALUE!</v>
      </c>
      <c r="FW10" t="e">
        <f>'Codification - type KO'!232:232-"'&lt;!(D"</f>
        <v>#VALUE!</v>
      </c>
      <c r="FX10" t="e">
        <f>'Codification - type KO'!233:233-"'&lt;!(E"</f>
        <v>#VALUE!</v>
      </c>
      <c r="FY10" t="e">
        <f>'Codification - type KO'!234:234-"'&lt;!(F"</f>
        <v>#VALUE!</v>
      </c>
      <c r="FZ10" t="e">
        <f>'Codification - type KO'!235:235-"'&lt;!(G"</f>
        <v>#VALUE!</v>
      </c>
      <c r="GA10" t="e">
        <f>'Codification - type KO'!236:236-"'&lt;!(H"</f>
        <v>#VALUE!</v>
      </c>
      <c r="GB10" t="e">
        <f>'Codification - type KO'!237:237-"'&lt;!(I"</f>
        <v>#VALUE!</v>
      </c>
      <c r="GC10" t="e">
        <f>'Codification - type KO'!238:238-"'&lt;!(J"</f>
        <v>#VALUE!</v>
      </c>
      <c r="GD10" t="e">
        <f>'Codification - type KO'!239:239-"'&lt;!(K"</f>
        <v>#VALUE!</v>
      </c>
      <c r="GE10" t="e">
        <f>'Codification - type KO'!240:240-"'&lt;!(L"</f>
        <v>#VALUE!</v>
      </c>
      <c r="GF10" t="e">
        <f>'Codification - type KO'!241:241-"'&lt;!(M"</f>
        <v>#VALUE!</v>
      </c>
      <c r="GG10" t="e">
        <f>'Codification - type KO'!242:242-"'&lt;!(N"</f>
        <v>#VALUE!</v>
      </c>
      <c r="GH10" t="e">
        <f>'Codification - type KO'!243:243-"'&lt;!(O"</f>
        <v>#VALUE!</v>
      </c>
      <c r="GI10" t="e">
        <f>'Codification - type KO'!244:244-"'&lt;!(P"</f>
        <v>#VALUE!</v>
      </c>
      <c r="GJ10" t="e">
        <f>'Codification - type KO'!245:245-"'&lt;!(Q"</f>
        <v>#VALUE!</v>
      </c>
      <c r="GK10" t="e">
        <f>'Codification - type KO'!246:246-"'&lt;!(R"</f>
        <v>#VALUE!</v>
      </c>
      <c r="GL10" t="e">
        <f>'Codification - type KO'!247:247-"'&lt;!(S"</f>
        <v>#VALUE!</v>
      </c>
      <c r="GM10" t="e">
        <f>'Codification - type KO'!248:248-"'&lt;!(T"</f>
        <v>#VALUE!</v>
      </c>
      <c r="GN10" t="e">
        <f>'Codification - type KO'!249:249-"'&lt;!(U"</f>
        <v>#VALUE!</v>
      </c>
      <c r="GO10" t="e">
        <f>'Codification - type KO'!250:250-"'&lt;!(V"</f>
        <v>#VALUE!</v>
      </c>
      <c r="GP10" t="e">
        <f>'Codification - type KO'!251:251-"'&lt;!(W"</f>
        <v>#VALUE!</v>
      </c>
      <c r="GQ10" t="e">
        <f>'Codification - type KO'!252:252-"'&lt;!(X"</f>
        <v>#VALUE!</v>
      </c>
      <c r="GR10" t="e">
        <f>'Codification - type KO'!253:253-"'&lt;!(Y"</f>
        <v>#VALUE!</v>
      </c>
      <c r="GS10" t="e">
        <f>'Codification - type KO'!254:254-"'&lt;!(Z"</f>
        <v>#VALUE!</v>
      </c>
      <c r="GT10" t="e">
        <f>'Codification - type KO'!255:255-"'&lt;!(["</f>
        <v>#VALUE!</v>
      </c>
      <c r="GU10" t="e">
        <f>'Codification - type KO'!256:256-"'&lt;!(\"</f>
        <v>#VALUE!</v>
      </c>
      <c r="GV10" t="e">
        <f>'Codification - type KO'!257:257-"'&lt;!(]"</f>
        <v>#VALUE!</v>
      </c>
      <c r="GW10" t="e">
        <f>'Codification - type KO'!258:258-"'&lt;!(^"</f>
        <v>#VALUE!</v>
      </c>
      <c r="GX10" t="e">
        <f>'Codification - type KO'!259:259-"'&lt;!(_"</f>
        <v>#VALUE!</v>
      </c>
      <c r="GY10" t="e">
        <f>'Codification - type KO'!260:260-"'&lt;!(`"</f>
        <v>#VALUE!</v>
      </c>
      <c r="GZ10" t="e">
        <f>Cmd_Acces_Modif!A1+"'&lt;!(a"</f>
        <v>#VALUE!</v>
      </c>
      <c r="HA10" t="e">
        <f>Cmd_Acces_Modif!B1+"'&lt;!(b"</f>
        <v>#VALUE!</v>
      </c>
      <c r="HB10" t="e">
        <f>Cmd_Acces_Modif!C1+"'&lt;!(c"</f>
        <v>#VALUE!</v>
      </c>
      <c r="HC10" t="e">
        <f>Cmd_Acces_Modif!D1+"'&lt;!(d"</f>
        <v>#VALUE!</v>
      </c>
      <c r="HD10" t="e">
        <f>Cmd_Acces_Modif!F1+"'&lt;!(e"</f>
        <v>#VALUE!</v>
      </c>
      <c r="HE10" t="e">
        <f>Cmd_Acces_Modif!A2+"'&lt;!(f"</f>
        <v>#VALUE!</v>
      </c>
      <c r="HF10" t="e">
        <f>Cmd_Acces_Modif!B2+"'&lt;!(g"</f>
        <v>#VALUE!</v>
      </c>
      <c r="HG10" t="e">
        <f>Cmd_Acces_Modif!C2+"'&lt;!(h"</f>
        <v>#VALUE!</v>
      </c>
      <c r="HH10" t="e">
        <f>Cmd_Acces_Modif!D2+"'&lt;!(i"</f>
        <v>#VALUE!</v>
      </c>
      <c r="HI10" t="e">
        <f>Cmd_Acces_Modif!E2+"'&lt;!(j"</f>
        <v>#VALUE!</v>
      </c>
      <c r="HJ10" t="e">
        <f>Cmd_Acces_Modif!F2+"'&lt;!(k"</f>
        <v>#VALUE!</v>
      </c>
      <c r="HK10" t="e">
        <f>Cmd_Acces_Modif!G2+"'&lt;!(l"</f>
        <v>#VALUE!</v>
      </c>
      <c r="HL10" t="e">
        <f>Cmd_Acces_Modif!A3+"'&lt;!(m"</f>
        <v>#VALUE!</v>
      </c>
      <c r="HM10" t="e">
        <f>Cmd_Acces_Modif!B3+"'&lt;!(n"</f>
        <v>#VALUE!</v>
      </c>
      <c r="HN10" t="e">
        <f>Cmd_Acces_Modif!C3+"'&lt;!(o"</f>
        <v>#VALUE!</v>
      </c>
      <c r="HO10" t="e">
        <f>Cmd_Acces_Modif!D3+"'&lt;!(p"</f>
        <v>#VALUE!</v>
      </c>
      <c r="HP10" t="e">
        <f>Cmd_Acces_Modif!E3+"'&lt;!(q"</f>
        <v>#VALUE!</v>
      </c>
      <c r="HQ10" t="e">
        <f>Cmd_Acces_Modif!F3+"'&lt;!(r"</f>
        <v>#VALUE!</v>
      </c>
      <c r="HR10" t="e">
        <f>Cmd_Acces_Modif!G3+"'&lt;!(s"</f>
        <v>#VALUE!</v>
      </c>
      <c r="HS10" t="e">
        <f>Cmd_Acces_Modif!A4+"'&lt;!(t"</f>
        <v>#VALUE!</v>
      </c>
      <c r="HT10" t="e">
        <f>Cmd_Acces_Modif!B4+"'&lt;!(u"</f>
        <v>#VALUE!</v>
      </c>
      <c r="HU10" t="e">
        <f>Cmd_Acces_Modif!C4+"'&lt;!(v"</f>
        <v>#VALUE!</v>
      </c>
      <c r="HV10" t="e">
        <f>Cmd_Acces_Modif!D4+"'&lt;!(w"</f>
        <v>#VALUE!</v>
      </c>
      <c r="HW10" t="e">
        <f>Cmd_Acces_Modif!E4+"'&lt;!(x"</f>
        <v>#VALUE!</v>
      </c>
      <c r="HX10" t="e">
        <f>Cmd_Acces_Modif!F4+"'&lt;!(y"</f>
        <v>#VALUE!</v>
      </c>
      <c r="HY10" t="e">
        <f>Cmd_Acces_Modif!G4+"'&lt;!(z"</f>
        <v>#VALUE!</v>
      </c>
      <c r="HZ10" t="e">
        <f>Cmd_Acces_Modif!A5+"'&lt;!({"</f>
        <v>#VALUE!</v>
      </c>
      <c r="IA10" t="e">
        <f>Cmd_Acces_Modif!B5+"'&lt;!(|"</f>
        <v>#VALUE!</v>
      </c>
      <c r="IB10" t="e">
        <f>Cmd_Acces_Modif!C5+"'&lt;!(}"</f>
        <v>#VALUE!</v>
      </c>
      <c r="IC10" t="e">
        <f>Cmd_Acces_Modif!D5+"'&lt;!(~"</f>
        <v>#VALUE!</v>
      </c>
      <c r="ID10" t="e">
        <f>Cmd_Acces_Modif!E5+"'&lt;!)#"</f>
        <v>#VALUE!</v>
      </c>
      <c r="IE10" t="e">
        <f>Cmd_Acces_Modif!F5+"'&lt;!)$"</f>
        <v>#VALUE!</v>
      </c>
      <c r="IF10" t="e">
        <f>Cmd_Acces_Modif!H5+"'&lt;!)%"</f>
        <v>#VALUE!</v>
      </c>
      <c r="IG10" t="e">
        <f>Cmd_Acces_Modif!A6+"'&lt;!)&amp;"</f>
        <v>#VALUE!</v>
      </c>
      <c r="IH10" t="e">
        <f>Cmd_Acces_Modif!B6+"'&lt;!)'"</f>
        <v>#VALUE!</v>
      </c>
      <c r="II10" t="e">
        <f>Cmd_Acces_Modif!C6+"'&lt;!)("</f>
        <v>#VALUE!</v>
      </c>
      <c r="IJ10" t="e">
        <f>Cmd_Acces_Modif!D6+"'&lt;!))"</f>
        <v>#VALUE!</v>
      </c>
      <c r="IK10" t="e">
        <f>Cmd_Acces_Modif!E6+"'&lt;!)."</f>
        <v>#VALUE!</v>
      </c>
      <c r="IL10" t="e">
        <f>Cmd_Acces_Modif!F6+"'&lt;!)/"</f>
        <v>#VALUE!</v>
      </c>
      <c r="IM10" t="e">
        <f>Cmd_Acces_Modif!H6+"'&lt;!)0"</f>
        <v>#VALUE!</v>
      </c>
      <c r="IN10" t="e">
        <f>Cmd_Acces_Modif!A7+"'&lt;!)1"</f>
        <v>#VALUE!</v>
      </c>
      <c r="IO10" t="e">
        <f>Cmd_Acces_Modif!B7+"'&lt;!)2"</f>
        <v>#VALUE!</v>
      </c>
      <c r="IP10" t="e">
        <f>Cmd_Acces_Modif!C7+"'&lt;!)3"</f>
        <v>#VALUE!</v>
      </c>
      <c r="IQ10" t="e">
        <f>Cmd_Acces_Modif!D7+"'&lt;!)4"</f>
        <v>#VALUE!</v>
      </c>
      <c r="IR10" t="e">
        <f>Cmd_Acces_Modif!E7+"'&lt;!)5"</f>
        <v>#VALUE!</v>
      </c>
      <c r="IS10" t="e">
        <f>Cmd_Acces_Modif!F7+"'&lt;!)6"</f>
        <v>#VALUE!</v>
      </c>
      <c r="IT10" t="e">
        <f>Cmd_Acces_Modif!H7+"'&lt;!)7"</f>
        <v>#VALUE!</v>
      </c>
      <c r="IU10" t="e">
        <f>Cmd_Acces_Modif!D8+"'&lt;!)8"</f>
        <v>#VALUE!</v>
      </c>
      <c r="IV10" t="e">
        <f>Cmd_Acces_Modif!E8+"'&lt;!)9"</f>
        <v>#VALUE!</v>
      </c>
    </row>
    <row r="11" spans="1:256">
      <c r="F11" t="e">
        <f>Cmd_Acces_Modif!E9+"'&lt;!):"</f>
        <v>#VALUE!</v>
      </c>
      <c r="G11" t="e">
        <f>Cmd_Acces_Modif!A11+"'&lt;!);"</f>
        <v>#VALUE!</v>
      </c>
      <c r="H11" t="e">
        <f>Cmd_Acces_Modif!A12+"'&lt;!)&lt;"</f>
        <v>#VALUE!</v>
      </c>
      <c r="I11" t="e">
        <f>Cmd_Acces_Modif!F13+"'&lt;!)="</f>
        <v>#VALUE!</v>
      </c>
      <c r="J11" t="e">
        <f>Cmd_Acces_Modif!F14+"'&lt;!)&gt;"</f>
        <v>#VALUE!</v>
      </c>
      <c r="K11" t="e">
        <f>Cmd_Acces_Modif!A:A*"'&lt;!)?"</f>
        <v>#VALUE!</v>
      </c>
      <c r="L11" t="e">
        <f>Cmd_Acces_Modif!B:B*"'&lt;!)@"</f>
        <v>#VALUE!</v>
      </c>
      <c r="M11" t="e">
        <f>Cmd_Acces_Modif!C:C*"'&lt;!)A"</f>
        <v>#VALUE!</v>
      </c>
      <c r="N11" t="e">
        <f>Cmd_Acces_Modif!D:D*"'&lt;!)B"</f>
        <v>#VALUE!</v>
      </c>
      <c r="O11" t="e">
        <f>Cmd_Acces_Modif!E:E*"'&lt;!)C"</f>
        <v>#VALUE!</v>
      </c>
      <c r="P11" t="e">
        <f>Cmd_Acces_Modif!F:F*"'&lt;!)D"</f>
        <v>#VALUE!</v>
      </c>
      <c r="Q11" t="e">
        <f>Cmd_Acces_Modif!G:G*"'&lt;!)E"</f>
        <v>#VALUE!</v>
      </c>
      <c r="R11" t="e">
        <f>Cmd_Acces_Modif!H:H*"'&lt;!)F"</f>
        <v>#VALUE!</v>
      </c>
      <c r="S11" t="e">
        <f>Cmd_Acces_Modif!I:I*"'&lt;!)G"</f>
        <v>#VALUE!</v>
      </c>
      <c r="T11" t="e">
        <f>Cmd_Acces_Modif!J:J*"'&lt;!)H"</f>
        <v>#VALUE!</v>
      </c>
      <c r="U11" t="e">
        <f>Cmd_Acces_Modif!K:K*"'&lt;!)I"</f>
        <v>#VALUE!</v>
      </c>
      <c r="V11" t="e">
        <f>Cmd_Acces_Modif!L:L*"'&lt;!)J"</f>
        <v>#VALUE!</v>
      </c>
      <c r="W11" t="e">
        <f>Cmd_Acces_Modif!M:M*"'&lt;!)K"</f>
        <v>#VALUE!</v>
      </c>
      <c r="X11" t="e">
        <f>Cmd_Acces_Modif!N:N*"'&lt;!)L"</f>
        <v>#VALUE!</v>
      </c>
      <c r="Y11" t="e">
        <f>Cmd_Acces_Modif!O:O*"'&lt;!)M"</f>
        <v>#VALUE!</v>
      </c>
      <c r="Z11" t="e">
        <f>Cmd_Acces_Modif!P:P*"'&lt;!)N"</f>
        <v>#VALUE!</v>
      </c>
      <c r="AA11" t="e">
        <f>Cmd_Acces_Modif!Q:Q*"'&lt;!)O"</f>
        <v>#VALUE!</v>
      </c>
      <c r="AB11" t="e">
        <f>Cmd_Acces_Modif!R:R*"'&lt;!)P"</f>
        <v>#VALUE!</v>
      </c>
      <c r="AC11" t="e">
        <f>Cmd_Acces_Modif!S:S*"'&lt;!)Q"</f>
        <v>#VALUE!</v>
      </c>
      <c r="AD11" t="e">
        <f>Cmd_Acces_Modif!T:T*"'&lt;!)R"</f>
        <v>#VALUE!</v>
      </c>
      <c r="AE11" t="e">
        <f>Cmd_Acces_Modif!U:U*"'&lt;!)S"</f>
        <v>#VALUE!</v>
      </c>
      <c r="AF11" t="e">
        <f>Cmd_Acces_Modif!V:V*"'&lt;!)T"</f>
        <v>#VALUE!</v>
      </c>
      <c r="AG11" t="e">
        <f>Cmd_Acces_Modif!W:W*"'&lt;!)U"</f>
        <v>#VALUE!</v>
      </c>
      <c r="AH11" t="e">
        <f>Cmd_Acces_Modif!X:X*"'&lt;!)V"</f>
        <v>#VALUE!</v>
      </c>
      <c r="AI11" t="e">
        <f>Cmd_Acces_Modif!Y:Y*"'&lt;!)W"</f>
        <v>#VALUE!</v>
      </c>
      <c r="AJ11" t="e">
        <f>Cmd_Acces_Modif!Z:Z*"'&lt;!)X"</f>
        <v>#VALUE!</v>
      </c>
      <c r="AK11" t="e">
        <f>Cmd_Acces_Modif!AA:AA*"'&lt;!)Y"</f>
        <v>#VALUE!</v>
      </c>
      <c r="AL11" t="e">
        <f>Cmd_Acces_Modif!AB:AB*"'&lt;!)Z"</f>
        <v>#VALUE!</v>
      </c>
      <c r="AM11" t="e">
        <f>Cmd_Acces_Modif!AC:AC*"'&lt;!)["</f>
        <v>#VALUE!</v>
      </c>
      <c r="AN11" t="e">
        <f>Cmd_Acces_Modif!AD:AD*"'&lt;!)\"</f>
        <v>#VALUE!</v>
      </c>
      <c r="AO11" t="e">
        <f>Cmd_Acces_Modif!AE:AE*"'&lt;!)]"</f>
        <v>#VALUE!</v>
      </c>
      <c r="AP11" t="e">
        <f>Cmd_Acces_Modif!AF:AF*"'&lt;!)^"</f>
        <v>#VALUE!</v>
      </c>
      <c r="AQ11" t="e">
        <f>Cmd_Acces_Modif!AG:AG*"'&lt;!)_"</f>
        <v>#VALUE!</v>
      </c>
      <c r="AR11" t="e">
        <f>Cmd_Acces_Modif!AH:AH*"'&lt;!)`"</f>
        <v>#VALUE!</v>
      </c>
      <c r="AS11" t="e">
        <f>Cmd_Acces_Modif!AI:AI*"'&lt;!)a"</f>
        <v>#VALUE!</v>
      </c>
      <c r="AT11" t="e">
        <f>Cmd_Acces_Modif!AJ:AJ*"'&lt;!)b"</f>
        <v>#VALUE!</v>
      </c>
      <c r="AU11" t="e">
        <f>Cmd_Acces_Modif!AK:AK*"'&lt;!)c"</f>
        <v>#VALUE!</v>
      </c>
      <c r="AV11" t="e">
        <f>Cmd_Acces_Modif!AL:AL*"'&lt;!)d"</f>
        <v>#VALUE!</v>
      </c>
      <c r="AW11" t="e">
        <f>Cmd_Acces_Modif!AM:AM*"'&lt;!)e"</f>
        <v>#VALUE!</v>
      </c>
      <c r="AX11" t="e">
        <f>Cmd_Acces_Modif!AN:AN*"'&lt;!)f"</f>
        <v>#VALUE!</v>
      </c>
      <c r="AY11" t="e">
        <f>Cmd_Acces_Modif!AO:AO*"'&lt;!)g"</f>
        <v>#VALUE!</v>
      </c>
      <c r="AZ11" t="e">
        <f>Cmd_Acces_Modif!AP:AP*"'&lt;!)h"</f>
        <v>#VALUE!</v>
      </c>
      <c r="BA11" t="e">
        <f>Cmd_Acces_Modif!AQ:AQ*"'&lt;!)i"</f>
        <v>#VALUE!</v>
      </c>
      <c r="BB11" t="e">
        <f>Cmd_Acces_Modif!AR:AR*"'&lt;!)j"</f>
        <v>#VALUE!</v>
      </c>
      <c r="BC11" t="e">
        <f>Cmd_Acces_Modif!AS:AS*"'&lt;!)k"</f>
        <v>#VALUE!</v>
      </c>
      <c r="BD11" t="e">
        <f>Cmd_Acces_Modif!AT:AT*"'&lt;!)l"</f>
        <v>#VALUE!</v>
      </c>
      <c r="BE11" t="e">
        <f>Cmd_Acces_Modif!AU:AU*"'&lt;!)m"</f>
        <v>#VALUE!</v>
      </c>
      <c r="BF11" t="e">
        <f>Cmd_Acces_Modif!AV:AV*"'&lt;!)n"</f>
        <v>#VALUE!</v>
      </c>
      <c r="BG11" t="e">
        <f>Cmd_Acces_Modif!AW:AW*"'&lt;!)o"</f>
        <v>#VALUE!</v>
      </c>
      <c r="BH11" t="e">
        <f>Cmd_Acces_Modif!AX:AX*"'&lt;!)p"</f>
        <v>#VALUE!</v>
      </c>
      <c r="BI11" t="e">
        <f>Cmd_Acces_Modif!AY:AY*"'&lt;!)q"</f>
        <v>#VALUE!</v>
      </c>
      <c r="BJ11" t="e">
        <f>Cmd_Acces_Modif!AZ:AZ*"'&lt;!)r"</f>
        <v>#VALUE!</v>
      </c>
      <c r="BK11" t="e">
        <f>Cmd_Acces_Modif!BA:BA*"'&lt;!)s"</f>
        <v>#VALUE!</v>
      </c>
      <c r="BL11" t="e">
        <f>Cmd_Acces_Modif!BB:BB*"'&lt;!)t"</f>
        <v>#VALUE!</v>
      </c>
      <c r="BM11" t="e">
        <f>Cmd_Acces_Modif!BC:BC*"'&lt;!)u"</f>
        <v>#VALUE!</v>
      </c>
      <c r="BN11" t="e">
        <f>Cmd_Acces_Modif!BD:BD*"'&lt;!)v"</f>
        <v>#VALUE!</v>
      </c>
      <c r="BO11" t="e">
        <f>Cmd_Acces_Modif!BE:BE*"'&lt;!)w"</f>
        <v>#VALUE!</v>
      </c>
      <c r="BP11" t="e">
        <f>Cmd_Acces_Modif!BF:BF*"'&lt;!)x"</f>
        <v>#VALUE!</v>
      </c>
      <c r="BQ11" t="e">
        <f>Cmd_Acces_Modif!1:1-"'&lt;!)y"</f>
        <v>#VALUE!</v>
      </c>
      <c r="BR11" t="e">
        <f>Cmd_Acces_Modif!2:2-"'&lt;!)z"</f>
        <v>#VALUE!</v>
      </c>
      <c r="BS11" t="e">
        <f>Cmd_Acces_Modif!3:3-"'&lt;!){"</f>
        <v>#VALUE!</v>
      </c>
      <c r="BT11" t="e">
        <f>Cmd_Acces_Modif!4:4-"'&lt;!)|"</f>
        <v>#VALUE!</v>
      </c>
      <c r="BU11" t="e">
        <f>Cmd_Acces_Modif!5:5-"'&lt;!)}"</f>
        <v>#VALUE!</v>
      </c>
      <c r="BV11" t="e">
        <f>Cmd_Acces_Modif!6:6-"'&lt;!)~"</f>
        <v>#VALUE!</v>
      </c>
      <c r="BW11" t="e">
        <f>Cmd_Acces_Modif!7:7-"'&lt;!.#"</f>
        <v>#VALUE!</v>
      </c>
      <c r="BX11" t="e">
        <f>Cmd_Acces_Modif!8:8-"'&lt;!.$"</f>
        <v>#VALUE!</v>
      </c>
      <c r="BY11" t="e">
        <f>Cmd_Acces_Modif!9:9-"'&lt;!.%"</f>
        <v>#VALUE!</v>
      </c>
      <c r="BZ11" t="e">
        <f>Cmd_Acces_Modif!10:10-"'&lt;!.&amp;"</f>
        <v>#VALUE!</v>
      </c>
      <c r="CA11" t="e">
        <f>Cmd_Acces_Modif!11:11-"'&lt;!.'"</f>
        <v>#VALUE!</v>
      </c>
      <c r="CB11" t="e">
        <f>Cmd_Acces_Modif!12:12-"'&lt;!.("</f>
        <v>#VALUE!</v>
      </c>
      <c r="CC11" t="e">
        <f>Cmd_Acces_Modif!13:13-"'&lt;!.)"</f>
        <v>#VALUE!</v>
      </c>
      <c r="CD11" t="e">
        <f>Cmd_Acces_Modif!14:14-"'&lt;!.."</f>
        <v>#VALUE!</v>
      </c>
      <c r="CE11" t="e">
        <f>Cmd_Acces_Modif!15:15-"'&lt;!./"</f>
        <v>#VALUE!</v>
      </c>
      <c r="CF11" t="e">
        <f>Cmd_Acces_Modif!16:16-"'&lt;!.0"</f>
        <v>#VALUE!</v>
      </c>
      <c r="CG11" t="e">
        <f>Cmd_Acces_Modif!17:17-"'&lt;!.1"</f>
        <v>#VALUE!</v>
      </c>
      <c r="CH11" t="e">
        <f>Cmd_Acces_Modif!18:18-"'&lt;!.2"</f>
        <v>#VALUE!</v>
      </c>
      <c r="CI11" t="e">
        <f>Cmd_Acces_Modif!19:19-"'&lt;!.3"</f>
        <v>#VALUE!</v>
      </c>
      <c r="CJ11" t="e">
        <f>Cmd_Acces_Modif!20:20-"'&lt;!.4"</f>
        <v>#VALUE!</v>
      </c>
      <c r="CK11" t="e">
        <f>Cmd_Acces_Modif!21:21-"'&lt;!.5"</f>
        <v>#VALUE!</v>
      </c>
      <c r="CL11" t="e">
        <f>Cmd_Acces_Modif!22:22-"'&lt;!.6"</f>
        <v>#VALUE!</v>
      </c>
      <c r="CM11" t="e">
        <f>Cmd_Acces_Modif!23:23-"'&lt;!.7"</f>
        <v>#VALUE!</v>
      </c>
      <c r="CN11" t="e">
        <f>Cmd_Acces_Modif!24:24-"'&lt;!.8"</f>
        <v>#VALUE!</v>
      </c>
      <c r="CO11" t="e">
        <f>Cmd_Acces_Modif!25:25-"'&lt;!.9"</f>
        <v>#VALUE!</v>
      </c>
      <c r="CP11" t="e">
        <f>Cmd_Acces_Modif!26:26-"'&lt;!.:"</f>
        <v>#VALUE!</v>
      </c>
      <c r="CQ11" t="e">
        <f>Cmd_Acces_Modif!27:27-"'&lt;!.;"</f>
        <v>#VALUE!</v>
      </c>
      <c r="CR11" t="e">
        <f>Cmd_Acces_Modif!28:28-"'&lt;!.&lt;"</f>
        <v>#VALUE!</v>
      </c>
      <c r="CS11" t="e">
        <f>Cmd_Acces_Modif!29:29-"'&lt;!.="</f>
        <v>#VALUE!</v>
      </c>
      <c r="CT11" t="e">
        <f>Cmd_Acces_Modif!30:30-"'&lt;!.&gt;"</f>
        <v>#VALUE!</v>
      </c>
      <c r="CU11" t="e">
        <f>Cmd_Acces_Modif!31:31-"'&lt;!.?"</f>
        <v>#VALUE!</v>
      </c>
      <c r="CV11" t="e">
        <f>Cmd_Acces_Modif!32:32-"'&lt;!.@"</f>
        <v>#VALUE!</v>
      </c>
      <c r="CW11" t="e">
        <f>Cmd_Acces_Modif!33:33-"'&lt;!.A"</f>
        <v>#VALUE!</v>
      </c>
      <c r="CX11" t="e">
        <f>Cmd_Acces_Modif!34:34-"'&lt;!.B"</f>
        <v>#VALUE!</v>
      </c>
      <c r="CY11" t="e">
        <f>Cmd_Acces_Modif!35:35-"'&lt;!.C"</f>
        <v>#VALUE!</v>
      </c>
      <c r="CZ11" t="e">
        <f>Cmd_Acces_Modif!36:36-"'&lt;!.D"</f>
        <v>#VALUE!</v>
      </c>
      <c r="DA11" t="e">
        <f>Cmd_Acces_Modif!37:37-"'&lt;!.E"</f>
        <v>#VALUE!</v>
      </c>
      <c r="DB11" t="e">
        <f>Cmd_Acces_Modif!38:38-"'&lt;!.F"</f>
        <v>#VALUE!</v>
      </c>
      <c r="DC11" t="e">
        <f>Cmd_Acces_Modif!39:39-"'&lt;!.G"</f>
        <v>#VALUE!</v>
      </c>
      <c r="DD11" t="e">
        <f>Cmd_Acces_Modif!40:40-"'&lt;!.H"</f>
        <v>#VALUE!</v>
      </c>
      <c r="DE11" t="e">
        <f>Cmd_Acces_Modif!41:41-"'&lt;!.I"</f>
        <v>#VALUE!</v>
      </c>
      <c r="DF11" t="e">
        <f>Cmd_Acces_Modif!42:42-"'&lt;!.J"</f>
        <v>#VALUE!</v>
      </c>
      <c r="DG11" t="e">
        <f>Cmd_Acces_Modif!43:43-"'&lt;!.K"</f>
        <v>#VALUE!</v>
      </c>
      <c r="DH11" t="e">
        <f>Cmd_Acces_Modif!44:44-"'&lt;!.L"</f>
        <v>#VALUE!</v>
      </c>
      <c r="DI11" t="e">
        <f>Cmd_Acces_Modif!45:45-"'&lt;!.M"</f>
        <v>#VALUE!</v>
      </c>
      <c r="DJ11" t="e">
        <f>Cmd_Acces_Modif!46:46-"'&lt;!.N"</f>
        <v>#VALUE!</v>
      </c>
      <c r="DK11" t="e">
        <f>Cmd_Acces_Modif!47:47-"'&lt;!.O"</f>
        <v>#VALUE!</v>
      </c>
      <c r="DL11" t="e">
        <f>Cmd_Acces_Modif!48:48-"'&lt;!.P"</f>
        <v>#VALUE!</v>
      </c>
      <c r="DM11" t="e">
        <f>Cmd_Acces_Modif!49:49-"'&lt;!.Q"</f>
        <v>#VALUE!</v>
      </c>
      <c r="DN11" t="e">
        <f>Cmd_Acces_Modif!50:50-"'&lt;!.R"</f>
        <v>#VALUE!</v>
      </c>
      <c r="DO11" t="e">
        <f>Cmd_Acces_Modif!51:51-"'&lt;!.S"</f>
        <v>#VALUE!</v>
      </c>
      <c r="DP11" t="e">
        <f>Cmd_Acces_Modif!52:52-"'&lt;!.T"</f>
        <v>#VALUE!</v>
      </c>
      <c r="DQ11" t="e">
        <f>Cmd_Acces_Modif!53:53-"'&lt;!.U"</f>
        <v>#VALUE!</v>
      </c>
      <c r="DR11" t="e">
        <f>Cmd_Acces_Modif!54:54-"'&lt;!.V"</f>
        <v>#VALUE!</v>
      </c>
      <c r="DS11" t="e">
        <f>Cmd_Acces_Modif!55:55-"'&lt;!.W"</f>
        <v>#VALUE!</v>
      </c>
      <c r="DT11" t="e">
        <f>Cmd_Acces_Modif!56:56-"'&lt;!.X"</f>
        <v>#VALUE!</v>
      </c>
      <c r="DU11" t="e">
        <f>Cmd_Acces_Modif!57:57-"'&lt;!.Y"</f>
        <v>#VALUE!</v>
      </c>
      <c r="DV11" t="e">
        <f>Cmd_Acces_Modif!58:58-"'&lt;!.Z"</f>
        <v>#VALUE!</v>
      </c>
      <c r="DW11" t="e">
        <f>Cmd_Acces_Modif!59:59-"'&lt;!.["</f>
        <v>#VALUE!</v>
      </c>
      <c r="DX11" t="e">
        <f>Cmd_Acces_Modif!60:60-"'&lt;!.\"</f>
        <v>#VALUE!</v>
      </c>
      <c r="DY11" t="e">
        <f>Cmd_Acces_Modif!61:61-"'&lt;!.]"</f>
        <v>#VALUE!</v>
      </c>
      <c r="DZ11" t="e">
        <f>Cmd_Acces_Modif!62:62-"'&lt;!.^"</f>
        <v>#VALUE!</v>
      </c>
      <c r="EA11" t="e">
        <f>Cmd_Acces_Modif!63:63-"'&lt;!._"</f>
        <v>#VALUE!</v>
      </c>
      <c r="EB11" t="e">
        <f>Cmd_Acces_Modif!64:64-"'&lt;!.`"</f>
        <v>#VALUE!</v>
      </c>
      <c r="EC11" t="e">
        <f>Cmd_Acces_Modif!65:65-"'&lt;!.a"</f>
        <v>#VALUE!</v>
      </c>
      <c r="ED11" t="e">
        <f>Cmd_Acces_Modif!66:66-"'&lt;!.b"</f>
        <v>#VALUE!</v>
      </c>
      <c r="EE11" t="e">
        <f>Cmd_Acces_Modif!67:67-"'&lt;!.c"</f>
        <v>#VALUE!</v>
      </c>
      <c r="EF11" t="e">
        <f>Cmd_Acces_Modif!68:68-"'&lt;!.d"</f>
        <v>#VALUE!</v>
      </c>
      <c r="EG11" t="e">
        <f>Cmd_Acces_Modif!69:69-"'&lt;!.e"</f>
        <v>#VALUE!</v>
      </c>
      <c r="EH11" t="e">
        <f>Cmd_Acces_Modif!70:70-"'&lt;!.f"</f>
        <v>#VALUE!</v>
      </c>
      <c r="EI11" t="e">
        <f>Cmd_Acces_Modif!71:71-"'&lt;!.g"</f>
        <v>#VALUE!</v>
      </c>
      <c r="EJ11" t="e">
        <f>Cmd_Acces_Modif!72:72-"'&lt;!.h"</f>
        <v>#VALUE!</v>
      </c>
      <c r="EK11" t="e">
        <f>Cmd_Acces_Modif!73:73-"'&lt;!.i"</f>
        <v>#VALUE!</v>
      </c>
      <c r="EL11" t="e">
        <f>Cmd_Acces_Modif!74:74-"'&lt;!.j"</f>
        <v>#VALUE!</v>
      </c>
      <c r="EM11" t="e">
        <f>Cmd_Acces_Modif!75:75-"'&lt;!.k"</f>
        <v>#VALUE!</v>
      </c>
      <c r="EN11" t="e">
        <f>Cmd_Acces_Modif!76:76-"'&lt;!.l"</f>
        <v>#VALUE!</v>
      </c>
      <c r="EO11" t="e">
        <f>Cmd_Acces_Modif!77:77-"'&lt;!.m"</f>
        <v>#VALUE!</v>
      </c>
      <c r="EP11" t="e">
        <f>Cmd_Acces_Modif!78:78-"'&lt;!.n"</f>
        <v>#VALUE!</v>
      </c>
      <c r="EQ11" t="e">
        <f>Cmd_Acces_Modif!79:79-"'&lt;!.o"</f>
        <v>#VALUE!</v>
      </c>
      <c r="ER11" t="e">
        <f>Cmd_Acces_Modif!80:80-"'&lt;!.p"</f>
        <v>#VALUE!</v>
      </c>
      <c r="ES11" t="e">
        <f>Cmd_Acces_Modif!81:81-"'&lt;!.q"</f>
        <v>#VALUE!</v>
      </c>
      <c r="ET11" t="e">
        <f>Cmd_Acces_Modif!82:82-"'&lt;!.r"</f>
        <v>#VALUE!</v>
      </c>
      <c r="EU11" t="e">
        <f>Cmd_Acces_Modif!83:83-"'&lt;!.s"</f>
        <v>#VALUE!</v>
      </c>
      <c r="EV11" t="e">
        <f>Cmd_Acces_Modif!84:84-"'&lt;!.t"</f>
        <v>#VALUE!</v>
      </c>
      <c r="EW11" t="e">
        <f>Cmd_Acces_Modif!85:85-"'&lt;!.u"</f>
        <v>#VALUE!</v>
      </c>
      <c r="EX11" t="e">
        <f>Cmd_Acces_Modif!86:86-"'&lt;!.v"</f>
        <v>#VALUE!</v>
      </c>
      <c r="EY11" t="e">
        <f>Cmd_Acces_Modif!87:87-"'&lt;!.w"</f>
        <v>#VALUE!</v>
      </c>
      <c r="EZ11" t="e">
        <f>Cmd_Acces_Modif!88:88-"'&lt;!.x"</f>
        <v>#VALUE!</v>
      </c>
      <c r="FA11" t="e">
        <f>Cmd_Acces_Modif!89:89-"'&lt;!.y"</f>
        <v>#VALUE!</v>
      </c>
      <c r="FB11" t="e">
        <f>Cmd_Acces_Modif!90:90-"'&lt;!.z"</f>
        <v>#VALUE!</v>
      </c>
      <c r="FC11" t="e">
        <f>Cmd_Acces_Modif!91:91-"'&lt;!.{"</f>
        <v>#VALUE!</v>
      </c>
      <c r="FD11" t="e">
        <f>Cmd_Acces_Modif!92:92-"'&lt;!.|"</f>
        <v>#VALUE!</v>
      </c>
      <c r="FE11" t="e">
        <f>Cmd_Acces_Modif!93:93-"'&lt;!.}"</f>
        <v>#VALUE!</v>
      </c>
      <c r="FF11" t="e">
        <f>Cmd_Acces_Modif!94:94-"'&lt;!.~"</f>
        <v>#VALUE!</v>
      </c>
      <c r="FG11" t="e">
        <f>Cmd_Acces_Modif!95:95-"'&lt;!/#"</f>
        <v>#VALUE!</v>
      </c>
      <c r="FH11" t="e">
        <f>Cmd_Acces_Modif!96:96-"'&lt;!/$"</f>
        <v>#VALUE!</v>
      </c>
      <c r="FI11" t="e">
        <f>Cmd_Acces_Modif!97:97-"'&lt;!/%"</f>
        <v>#VALUE!</v>
      </c>
      <c r="FJ11" t="e">
        <f>Cmd_Acces_Modif!98:98-"'&lt;!/&amp;"</f>
        <v>#VALUE!</v>
      </c>
      <c r="FK11" t="e">
        <f>Cmd_Acces_Modif!99:99-"'&lt;!/'"</f>
        <v>#VALUE!</v>
      </c>
      <c r="FL11" t="e">
        <f>Cmd_Acces_Modif!100:100-"'&lt;!/("</f>
        <v>#VALUE!</v>
      </c>
      <c r="FM11" t="e">
        <f>Cmd_Acces_Modif!101:101-"'&lt;!/)"</f>
        <v>#VALUE!</v>
      </c>
      <c r="FN11" t="e">
        <f>Cmd_Acces_Modif!102:102-"'&lt;!/."</f>
        <v>#VALUE!</v>
      </c>
      <c r="FO11" t="e">
        <f>Cmd_Acces_Modif!103:103-"'&lt;!//"</f>
        <v>#VALUE!</v>
      </c>
      <c r="FP11" t="e">
        <f>Cmd_Acces_Modif!104:104-"'&lt;!/0"</f>
        <v>#VALUE!</v>
      </c>
      <c r="FQ11" t="e">
        <f>Cmd_Acces_Modif!105:105-"'&lt;!/1"</f>
        <v>#VALUE!</v>
      </c>
      <c r="FR11" t="e">
        <f>Cmd_Acces_Modif!106:106-"'&lt;!/2"</f>
        <v>#VALUE!</v>
      </c>
      <c r="FS11" t="e">
        <f>Cmd_Acces_Modif!107:107-"'&lt;!/3"</f>
        <v>#VALUE!</v>
      </c>
      <c r="FT11" t="e">
        <f>Cmd_Acces_Modif!108:108-"'&lt;!/4"</f>
        <v>#VALUE!</v>
      </c>
      <c r="FU11" t="e">
        <f>Cmd_Acces_Modif!109:109-"'&lt;!/5"</f>
        <v>#VALUE!</v>
      </c>
      <c r="FV11" t="e">
        <f>Cmd_Acces_Modif!110:110-"'&lt;!/6"</f>
        <v>#VALUE!</v>
      </c>
      <c r="FW11" t="e">
        <f>Cmd_Acces_Modif!111:111-"'&lt;!/7"</f>
        <v>#VALUE!</v>
      </c>
      <c r="FX11" t="e">
        <f>Cmd_Acces_Modif!112:112-"'&lt;!/8"</f>
        <v>#VALUE!</v>
      </c>
      <c r="FY11" t="e">
        <f>Cmd_Acces_Modif!113:113-"'&lt;!/9"</f>
        <v>#VALUE!</v>
      </c>
      <c r="FZ11" t="e">
        <f>Cmd_Acces_Modif!114:114-"'&lt;!/:"</f>
        <v>#VALUE!</v>
      </c>
      <c r="GA11" t="e">
        <f>Cmd_Acces_Modif!115:115-"'&lt;!/;"</f>
        <v>#VALUE!</v>
      </c>
      <c r="GB11" t="e">
        <f>Cmd_Acces_Modif!116:116-"'&lt;!/&lt;"</f>
        <v>#VALUE!</v>
      </c>
      <c r="GC11" t="e">
        <f>Cmd_Acces_Modif!117:117-"'&lt;!/="</f>
        <v>#VALUE!</v>
      </c>
      <c r="GD11" t="e">
        <f>Cmd_Acces_Modif!118:118-"'&lt;!/&gt;"</f>
        <v>#VALUE!</v>
      </c>
      <c r="GE11" t="e">
        <f>Cmd_Acces_Modif!119:119-"'&lt;!/?"</f>
        <v>#VALUE!</v>
      </c>
      <c r="GF11" t="e">
        <f>Cmd_Acces_Modif!120:120-"'&lt;!/@"</f>
        <v>#VALUE!</v>
      </c>
      <c r="GG11" t="e">
        <f>Cmd_Acces_Modif!121:121-"'&lt;!/A"</f>
        <v>#VALUE!</v>
      </c>
      <c r="GH11" t="e">
        <f>Cmd_Acces_Modif!122:122-"'&lt;!/B"</f>
        <v>#VALUE!</v>
      </c>
      <c r="GI11" t="e">
        <f>Cmd_Acces_Modif!123:123-"'&lt;!/C"</f>
        <v>#VALUE!</v>
      </c>
      <c r="GJ11" t="e">
        <f>Cmd_Acces_Modif!124:124-"'&lt;!/D"</f>
        <v>#VALUE!</v>
      </c>
      <c r="GK11" t="e">
        <f>Cmd_Acces_Modif!125:125-"'&lt;!/E"</f>
        <v>#VALUE!</v>
      </c>
      <c r="GL11" t="e">
        <f>Cmd_Acces_Modif!126:126-"'&lt;!/F"</f>
        <v>#VALUE!</v>
      </c>
      <c r="GM11" t="e">
        <f>Cmd_Acces_Modif!127:127-"'&lt;!/G"</f>
        <v>#VALUE!</v>
      </c>
      <c r="GN11" t="e">
        <f>Cmd_Acces_Modif!128:128-"'&lt;!/H"</f>
        <v>#VALUE!</v>
      </c>
      <c r="GO11" t="e">
        <f>Cmd_Acces_Modif!129:129-"'&lt;!/I"</f>
        <v>#VALUE!</v>
      </c>
      <c r="GP11" t="e">
        <f>Cmd_Acces_Modif!130:130-"'&lt;!/J"</f>
        <v>#VALUE!</v>
      </c>
      <c r="GQ11" t="e">
        <f>Cmd_Acces_Modif!131:131-"'&lt;!/K"</f>
        <v>#VALUE!</v>
      </c>
      <c r="GR11" t="e">
        <f>Cmd_Acces_Modif!132:132-"'&lt;!/L"</f>
        <v>#VALUE!</v>
      </c>
      <c r="GS11" t="e">
        <f>Cmd_Acces_Modif!133:133-"'&lt;!/M"</f>
        <v>#VALUE!</v>
      </c>
      <c r="GT11" t="e">
        <f>Cmd_Acces_Modif!134:134-"'&lt;!/N"</f>
        <v>#VALUE!</v>
      </c>
      <c r="GU11" t="e">
        <f>Cmd_Acces_Modif!135:135-"'&lt;!/O"</f>
        <v>#VALUE!</v>
      </c>
      <c r="GV11" t="e">
        <f>Cmd_Acces_Modif!136:136-"'&lt;!/P"</f>
        <v>#VALUE!</v>
      </c>
      <c r="GW11" t="e">
        <f>Cmd_Acces_Modif!137:137-"'&lt;!/Q"</f>
        <v>#VALUE!</v>
      </c>
      <c r="GX11" t="e">
        <f>Cmd_Acces_Modif!138:138-"'&lt;!/R"</f>
        <v>#VALUE!</v>
      </c>
      <c r="GY11" t="e">
        <f>Cmd_Acces_Modif!139:139-"'&lt;!/S"</f>
        <v>#VALUE!</v>
      </c>
      <c r="GZ11" t="e">
        <f>Cmd_Acces_Modif!140:140-"'&lt;!/T"</f>
        <v>#VALUE!</v>
      </c>
      <c r="HA11" t="e">
        <f>Cmd_Acces_Modif!141:141-"'&lt;!/U"</f>
        <v>#VALUE!</v>
      </c>
      <c r="HB11" t="e">
        <f>Cmd_Acces_Modif!142:142-"'&lt;!/V"</f>
        <v>#VALUE!</v>
      </c>
      <c r="HC11" t="e">
        <f>Cmd_Acces_Modif!143:143-"'&lt;!/W"</f>
        <v>#VALUE!</v>
      </c>
      <c r="HD11" t="e">
        <f>Cmd_Acces_Modif!144:144-"'&lt;!/X"</f>
        <v>#VALUE!</v>
      </c>
      <c r="HE11" t="e">
        <f>Cmd_Acces_Modif!145:145-"'&lt;!/Y"</f>
        <v>#VALUE!</v>
      </c>
      <c r="HF11" t="e">
        <f>Cmd_Acces_Modif!146:146-"'&lt;!/Z"</f>
        <v>#VALUE!</v>
      </c>
      <c r="HG11" t="e">
        <f>Cmd_Acces_Modif!147:147-"'&lt;!/["</f>
        <v>#VALUE!</v>
      </c>
      <c r="HH11" t="e">
        <f>Cmd_Acces_Modif!148:148-"'&lt;!/\"</f>
        <v>#VALUE!</v>
      </c>
      <c r="HI11" t="e">
        <f>Cmd_Acces_Modif!149:149-"'&lt;!/]"</f>
        <v>#VALUE!</v>
      </c>
      <c r="HJ11" t="e">
        <f>Cmd_Acces_Modif!150:150-"'&lt;!/^"</f>
        <v>#VALUE!</v>
      </c>
      <c r="HK11" t="e">
        <f>Cmd_Acces_Modif!151:151-"'&lt;!/_"</f>
        <v>#VALUE!</v>
      </c>
      <c r="HL11" t="e">
        <f>Cmd_Acces_Modif!152:152-"'&lt;!/`"</f>
        <v>#VALUE!</v>
      </c>
      <c r="HM11" t="e">
        <f>Cmd_Acces_Modif!153:153-"'&lt;!/a"</f>
        <v>#VALUE!</v>
      </c>
      <c r="HN11" t="e">
        <f>Cmd_Acces_Modif!154:154-"'&lt;!/b"</f>
        <v>#VALUE!</v>
      </c>
      <c r="HO11" t="e">
        <f>Cmd_Acces_Modif!155:155-"'&lt;!/c"</f>
        <v>#VALUE!</v>
      </c>
      <c r="HP11" t="e">
        <f>Cmd_Acces_Modif!156:156-"'&lt;!/d"</f>
        <v>#VALUE!</v>
      </c>
      <c r="HQ11" t="e">
        <f>Cmd_Acces_Modif!157:157-"'&lt;!/e"</f>
        <v>#VALUE!</v>
      </c>
      <c r="HR11" t="e">
        <f>Cmd_Acces_Modif!158:158-"'&lt;!/f"</f>
        <v>#VALUE!</v>
      </c>
      <c r="HS11" t="e">
        <f>Cmd_Acces_Modif!159:159-"'&lt;!/g"</f>
        <v>#VALUE!</v>
      </c>
      <c r="HT11" t="e">
        <f>Cmd_Acces_Modif!160:160-"'&lt;!/h"</f>
        <v>#VALUE!</v>
      </c>
      <c r="HU11" t="e">
        <f>Cmd_Acces_Modif!161:161-"'&lt;!/i"</f>
        <v>#VALUE!</v>
      </c>
      <c r="HV11" t="e">
        <f>Cmd_Acces_Modif!162:162-"'&lt;!/j"</f>
        <v>#VALUE!</v>
      </c>
      <c r="HW11" t="e">
        <f>Cmd_Acces_Modif!163:163-"'&lt;!/k"</f>
        <v>#VALUE!</v>
      </c>
      <c r="HX11" t="e">
        <f>Cmd_Acces_Modif!164:164-"'&lt;!/l"</f>
        <v>#VALUE!</v>
      </c>
      <c r="HY11" t="e">
        <f>Cmd_Acces_Modif!165:165-"'&lt;!/m"</f>
        <v>#VALUE!</v>
      </c>
      <c r="HZ11" t="e">
        <f>Cmd_Acces_Modif!166:166-"'&lt;!/n"</f>
        <v>#VALUE!</v>
      </c>
      <c r="IA11" t="e">
        <f>Cmd_Acces_Modif!167:167-"'&lt;!/o"</f>
        <v>#VALUE!</v>
      </c>
      <c r="IB11" t="e">
        <f>Cmd_Acces_Modif!168:168-"'&lt;!/p"</f>
        <v>#VALUE!</v>
      </c>
      <c r="IC11" t="e">
        <f>Cmd_Acces_Modif!169:169-"'&lt;!/q"</f>
        <v>#VALUE!</v>
      </c>
      <c r="ID11" t="e">
        <f>Cmd_Acces_Modif!170:170-"'&lt;!/r"</f>
        <v>#VALUE!</v>
      </c>
      <c r="IE11" t="e">
        <f>Cmd_Acces_Modif!171:171-"'&lt;!/s"</f>
        <v>#VALUE!</v>
      </c>
      <c r="IF11" t="e">
        <f>Cmd_Acces_Modif!172:172-"'&lt;!/t"</f>
        <v>#VALUE!</v>
      </c>
      <c r="IG11" t="e">
        <f>Cmd_Acces_Modif!173:173-"'&lt;!/u"</f>
        <v>#VALUE!</v>
      </c>
      <c r="IH11" t="e">
        <f>Cmd_Acces_Modif!174:174-"'&lt;!/v"</f>
        <v>#VALUE!</v>
      </c>
      <c r="II11" t="e">
        <f>Cmd_Acces_Modif!175:175-"'&lt;!/w"</f>
        <v>#VALUE!</v>
      </c>
      <c r="IJ11" t="e">
        <f>Cmd_Acces_Modif!176:176-"'&lt;!/x"</f>
        <v>#VALUE!</v>
      </c>
      <c r="IK11" t="e">
        <f>Cmd_Acces_Modif!177:177-"'&lt;!/y"</f>
        <v>#VALUE!</v>
      </c>
      <c r="IL11" t="e">
        <f>Cmd_Acces_Modif!178:178-"'&lt;!/z"</f>
        <v>#VALUE!</v>
      </c>
      <c r="IM11" t="e">
        <f>Cmd_Acces_Modif!179:179-"'&lt;!/{"</f>
        <v>#VALUE!</v>
      </c>
      <c r="IN11" t="e">
        <f>Cmd_Acces_Modif!180:180-"'&lt;!/|"</f>
        <v>#VALUE!</v>
      </c>
      <c r="IO11" t="e">
        <f>Cmd_Acces_Modif!181:181-"'&lt;!/}"</f>
        <v>#VALUE!</v>
      </c>
      <c r="IP11" t="e">
        <f>Cmd_Acces_Modif!182:182-"'&lt;!/~"</f>
        <v>#VALUE!</v>
      </c>
      <c r="IQ11" t="e">
        <f>Cmd_Acces_Modif!183:183-"'&lt;!0#"</f>
        <v>#VALUE!</v>
      </c>
      <c r="IR11" t="e">
        <f>Cmd_Acces_Modif!184:184-"'&lt;!0$"</f>
        <v>#VALUE!</v>
      </c>
      <c r="IS11" t="e">
        <f>Cmd_Acces_Modif!185:185-"'&lt;!0%"</f>
        <v>#VALUE!</v>
      </c>
      <c r="IT11" t="e">
        <f>Cmd_Acces_Modif!186:186-"'&lt;!0&amp;"</f>
        <v>#VALUE!</v>
      </c>
      <c r="IU11" t="e">
        <f>Cmd_Acces_Modif!187:187-"'&lt;!0'"</f>
        <v>#VALUE!</v>
      </c>
      <c r="IV11" t="e">
        <f>Cmd_Acces_Modif!188:188-"'&lt;!0("</f>
        <v>#VALUE!</v>
      </c>
    </row>
    <row r="12" spans="1:256">
      <c r="F12" t="e">
        <f>Cmd_Acces_Modif!189:189-"'&lt;!0)"</f>
        <v>#VALUE!</v>
      </c>
      <c r="G12" t="e">
        <f>Cmd_Acces_Modif!190:190-"'&lt;!0."</f>
        <v>#VALUE!</v>
      </c>
      <c r="H12" t="e">
        <f>Cmd_Acces_Modif!191:191-"'&lt;!0/"</f>
        <v>#VALUE!</v>
      </c>
      <c r="I12" t="e">
        <f>Cmd_Acces_Modif!192:192-"'&lt;!00"</f>
        <v>#VALUE!</v>
      </c>
      <c r="J12" t="e">
        <f>Cmd_Acces_Modif!193:193-"'&lt;!01"</f>
        <v>#VALUE!</v>
      </c>
      <c r="K12" t="e">
        <f>Cmd_Acces_Modif!194:194-"'&lt;!02"</f>
        <v>#VALUE!</v>
      </c>
      <c r="L12" t="e">
        <f>Cmd_Acces_Modif!195:195-"'&lt;!03"</f>
        <v>#VALUE!</v>
      </c>
      <c r="M12" t="e">
        <f>Cmd_Acces_Modif!196:196-"'&lt;!04"</f>
        <v>#VALUE!</v>
      </c>
      <c r="N12" t="e">
        <f>Cmd_Acces_Modif!197:197-"'&lt;!05"</f>
        <v>#VALUE!</v>
      </c>
      <c r="O12" t="e">
        <f>Cmd_Acces_Modif!198:198-"'&lt;!06"</f>
        <v>#VALUE!</v>
      </c>
      <c r="P12" t="e">
        <f>Cmd_Acces_Modif!199:199-"'&lt;!07"</f>
        <v>#VALUE!</v>
      </c>
      <c r="Q12" t="e">
        <f>Cmd_Acces_Modif!200:200-"'&lt;!08"</f>
        <v>#VALUE!</v>
      </c>
      <c r="R12" t="e">
        <f>Cmd_Acces_Modif!201:201-"'&lt;!09"</f>
        <v>#VALUE!</v>
      </c>
      <c r="S12" t="e">
        <f>Cmd_Acces_Modif!202:202-"'&lt;!0:"</f>
        <v>#VALUE!</v>
      </c>
      <c r="T12" t="e">
        <f>Cmd_Acces_Modif!203:203-"'&lt;!0;"</f>
        <v>#VALUE!</v>
      </c>
      <c r="U12" t="e">
        <f>Cmd_Acces_Modif!204:204-"'&lt;!0&lt;"</f>
        <v>#VALUE!</v>
      </c>
      <c r="V12" t="e">
        <f>Cmd_Acces_Modif!205:205-"'&lt;!0="</f>
        <v>#VALUE!</v>
      </c>
      <c r="W12" t="e">
        <f>Cmd_Acces_Modif!206:206-"'&lt;!0&gt;"</f>
        <v>#VALUE!</v>
      </c>
      <c r="X12" t="e">
        <f>Cmd_Acces_Modif!207:207-"'&lt;!0?"</f>
        <v>#VALUE!</v>
      </c>
      <c r="Y12" t="e">
        <f>Cmd_Acces_Modif!208:208-"'&lt;!0@"</f>
        <v>#VALUE!</v>
      </c>
      <c r="Z12" t="e">
        <f>Cmd_Acces_Modif!209:209-"'&lt;!0A"</f>
        <v>#VALUE!</v>
      </c>
      <c r="AA12" t="e">
        <f>Cmd_Acces_Modif!210:210-"'&lt;!0B"</f>
        <v>#VALUE!</v>
      </c>
      <c r="AB12" t="e">
        <f>Cmd_Acces_Modif!211:211-"'&lt;!0C"</f>
        <v>#VALUE!</v>
      </c>
      <c r="AC12" t="e">
        <f>Cmd_Acces_Modif!212:212-"'&lt;!0D"</f>
        <v>#VALUE!</v>
      </c>
      <c r="AD12" t="e">
        <f>Cmd_Acces_Modif!213:213-"'&lt;!0E"</f>
        <v>#VALUE!</v>
      </c>
      <c r="AE12" t="e">
        <f>Cmd_Acces_Modif!214:214-"'&lt;!0F"</f>
        <v>#VALUE!</v>
      </c>
      <c r="AF12" t="e">
        <f>AR_Cmd_Acces_Modif!A1+"'&lt;!0G"</f>
        <v>#VALUE!</v>
      </c>
      <c r="AG12" t="e">
        <f>AR_Cmd_Acces_Modif!B1+"'&lt;!0H"</f>
        <v>#VALUE!</v>
      </c>
      <c r="AH12" t="e">
        <f>AR_Cmd_Acces_Modif!C1+"'&lt;!0I"</f>
        <v>#VALUE!</v>
      </c>
      <c r="AI12" t="e">
        <f>AR_Cmd_Acces_Modif!D1+"'&lt;!0J"</f>
        <v>#VALUE!</v>
      </c>
      <c r="AJ12" t="e">
        <f>AR_Cmd_Acces_Modif!F1+"'&lt;!0K"</f>
        <v>#VALUE!</v>
      </c>
      <c r="AK12" t="e">
        <f>AR_Cmd_Acces_Modif!A2+"'&lt;!0L"</f>
        <v>#VALUE!</v>
      </c>
      <c r="AL12" t="e">
        <f>AR_Cmd_Acces_Modif!B2+"'&lt;!0M"</f>
        <v>#VALUE!</v>
      </c>
      <c r="AM12" t="e">
        <f>AR_Cmd_Acces_Modif!C2+"'&lt;!0N"</f>
        <v>#VALUE!</v>
      </c>
      <c r="AN12" t="e">
        <f>AR_Cmd_Acces_Modif!D2+"'&lt;!0O"</f>
        <v>#VALUE!</v>
      </c>
      <c r="AO12" t="e">
        <f>AR_Cmd_Acces_Modif!F2+"'&lt;!0P"</f>
        <v>#VALUE!</v>
      </c>
      <c r="AP12" t="e">
        <f>AR_Cmd_Acces_Modif!A3+"'&lt;!0Q"</f>
        <v>#VALUE!</v>
      </c>
      <c r="AQ12" t="e">
        <f>AR_Cmd_Acces_Modif!B3+"'&lt;!0R"</f>
        <v>#VALUE!</v>
      </c>
      <c r="AR12" t="e">
        <f>AR_Cmd_Acces_Modif!C3+"'&lt;!0S"</f>
        <v>#VALUE!</v>
      </c>
      <c r="AS12" t="e">
        <f>AR_Cmd_Acces_Modif!D3+"'&lt;!0T"</f>
        <v>#VALUE!</v>
      </c>
      <c r="AT12" t="e">
        <f>AR_Cmd_Acces_Modif!F3+"'&lt;!0U"</f>
        <v>#VALUE!</v>
      </c>
      <c r="AU12" t="e">
        <f>AR_Cmd_Acces_Modif!A4+"'&lt;!0V"</f>
        <v>#VALUE!</v>
      </c>
      <c r="AV12" t="e">
        <f>AR_Cmd_Acces_Modif!B4+"'&lt;!0W"</f>
        <v>#VALUE!</v>
      </c>
      <c r="AW12" t="e">
        <f>AR_Cmd_Acces_Modif!C4+"'&lt;!0X"</f>
        <v>#VALUE!</v>
      </c>
      <c r="AX12" t="e">
        <f>AR_Cmd_Acces_Modif!D4+"'&lt;!0Y"</f>
        <v>#VALUE!</v>
      </c>
      <c r="AY12" t="e">
        <f>AR_Cmd_Acces_Modif!E4+"'&lt;!0Z"</f>
        <v>#VALUE!</v>
      </c>
      <c r="AZ12" t="e">
        <f>AR_Cmd_Acces_Modif!F4+"'&lt;!0["</f>
        <v>#VALUE!</v>
      </c>
      <c r="BA12" t="e">
        <f>AR_Cmd_Acces_Modif!H4+"'&lt;!0\"</f>
        <v>#VALUE!</v>
      </c>
      <c r="BB12" t="e">
        <f>AR_Cmd_Acces_Modif!A5+"'&lt;!0]"</f>
        <v>#VALUE!</v>
      </c>
      <c r="BC12" t="e">
        <f>AR_Cmd_Acces_Modif!B5+"'&lt;!0^"</f>
        <v>#VALUE!</v>
      </c>
      <c r="BD12" t="e">
        <f>AR_Cmd_Acces_Modif!C5+"'&lt;!0_"</f>
        <v>#VALUE!</v>
      </c>
      <c r="BE12" t="e">
        <f>AR_Cmd_Acces_Modif!D5+"'&lt;!0`"</f>
        <v>#VALUE!</v>
      </c>
      <c r="BF12" t="e">
        <f>AR_Cmd_Acces_Modif!E5+"'&lt;!0a"</f>
        <v>#VALUE!</v>
      </c>
      <c r="BG12" t="e">
        <f>AR_Cmd_Acces_Modif!F5+"'&lt;!0b"</f>
        <v>#VALUE!</v>
      </c>
      <c r="BH12" t="e">
        <f>AR_Cmd_Acces_Modif!H5+"'&lt;!0c"</f>
        <v>#VALUE!</v>
      </c>
      <c r="BI12" t="e">
        <f>AR_Cmd_Acces_Modif!A6+"'&lt;!0d"</f>
        <v>#VALUE!</v>
      </c>
      <c r="BJ12" t="e">
        <f>AR_Cmd_Acces_Modif!B6+"'&lt;!0e"</f>
        <v>#VALUE!</v>
      </c>
      <c r="BK12" t="e">
        <f>AR_Cmd_Acces_Modif!C6+"'&lt;!0f"</f>
        <v>#VALUE!</v>
      </c>
      <c r="BL12" t="e">
        <f>AR_Cmd_Acces_Modif!D6+"'&lt;!0g"</f>
        <v>#VALUE!</v>
      </c>
      <c r="BM12" t="e">
        <f>AR_Cmd_Acces_Modif!F6+"'&lt;!0h"</f>
        <v>#VALUE!</v>
      </c>
      <c r="BN12" t="e">
        <f>AR_Cmd_Acces_Modif!A7+"'&lt;!0i"</f>
        <v>#VALUE!</v>
      </c>
      <c r="BO12" t="e">
        <f>AR_Cmd_Acces_Modif!B7+"'&lt;!0j"</f>
        <v>#VALUE!</v>
      </c>
      <c r="BP12" t="e">
        <f>AR_Cmd_Acces_Modif!C7+"'&lt;!0k"</f>
        <v>#VALUE!</v>
      </c>
      <c r="BQ12" t="e">
        <f>AR_Cmd_Acces_Modif!D7+"'&lt;!0l"</f>
        <v>#VALUE!</v>
      </c>
      <c r="BR12" t="e">
        <f>AR_Cmd_Acces_Modif!F7+"'&lt;!0m"</f>
        <v>#VALUE!</v>
      </c>
      <c r="BS12" t="e">
        <f>AR_Cmd_Acces_Modif!A8+"'&lt;!0n"</f>
        <v>#VALUE!</v>
      </c>
      <c r="BT12" t="e">
        <f>AR_Cmd_Acces_Modif!B8+"'&lt;!0o"</f>
        <v>#VALUE!</v>
      </c>
      <c r="BU12" t="e">
        <f>AR_Cmd_Acces_Modif!C8+"'&lt;!0p"</f>
        <v>#VALUE!</v>
      </c>
      <c r="BV12" t="e">
        <f>AR_Cmd_Acces_Modif!D8+"'&lt;!0q"</f>
        <v>#VALUE!</v>
      </c>
      <c r="BW12" t="e">
        <f>AR_Cmd_Acces_Modif!F8+"'&lt;!0r"</f>
        <v>#VALUE!</v>
      </c>
      <c r="BX12" t="e">
        <f>AR_Cmd_Acces_Modif!A12+"'&lt;!0s"</f>
        <v>#VALUE!</v>
      </c>
      <c r="BY12" t="e">
        <f>AR_Cmd_Acces_Modif!B12+"'&lt;!0t"</f>
        <v>#VALUE!</v>
      </c>
      <c r="BZ12" t="e">
        <f>AR_Cmd_Acces_Modif!C12+"'&lt;!0u"</f>
        <v>#VALUE!</v>
      </c>
      <c r="CA12" t="e">
        <f>AR_Cmd_Acces_Modif!D12+"'&lt;!0v"</f>
        <v>#VALUE!</v>
      </c>
      <c r="CB12" t="e">
        <f>AR_Cmd_Acces_Modif!A13+"'&lt;!0w"</f>
        <v>#VALUE!</v>
      </c>
      <c r="CC12" t="e">
        <f>AR_Cmd_Acces_Modif!B13+"'&lt;!0x"</f>
        <v>#VALUE!</v>
      </c>
      <c r="CD12" t="e">
        <f>AR_Cmd_Acces_Modif!C13+"'&lt;!0y"</f>
        <v>#VALUE!</v>
      </c>
      <c r="CE12" t="e">
        <f>AR_Cmd_Acces_Modif!D13+"'&lt;!0z"</f>
        <v>#VALUE!</v>
      </c>
      <c r="CF12" t="e">
        <f>AR_Cmd_Acces_Modif!A:A*"'&lt;!0{"</f>
        <v>#VALUE!</v>
      </c>
      <c r="CG12" t="e">
        <f>AR_Cmd_Acces_Modif!B:B*"'&lt;!0|"</f>
        <v>#VALUE!</v>
      </c>
      <c r="CH12" t="e">
        <f>AR_Cmd_Acces_Modif!C:C*"'&lt;!0}"</f>
        <v>#VALUE!</v>
      </c>
      <c r="CI12" t="e">
        <f>AR_Cmd_Acces_Modif!D:D*"'&lt;!0~"</f>
        <v>#VALUE!</v>
      </c>
      <c r="CJ12" t="e">
        <f>AR_Cmd_Acces_Modif!E:E*"'&lt;!1#"</f>
        <v>#VALUE!</v>
      </c>
      <c r="CK12" t="e">
        <f>AR_Cmd_Acces_Modif!F:F*"'&lt;!1$"</f>
        <v>#VALUE!</v>
      </c>
      <c r="CL12" t="e">
        <f>AR_Cmd_Acces_Modif!G:G*"'&lt;!1%"</f>
        <v>#VALUE!</v>
      </c>
      <c r="CM12" t="e">
        <f>AR_Cmd_Acces_Modif!H:H*"'&lt;!1&amp;"</f>
        <v>#VALUE!</v>
      </c>
      <c r="CN12" t="e">
        <f>AR_Cmd_Acces_Modif!I:I*"'&lt;!1'"</f>
        <v>#VALUE!</v>
      </c>
      <c r="CO12" t="e">
        <f>AR_Cmd_Acces_Modif!J:J*"'&lt;!1("</f>
        <v>#VALUE!</v>
      </c>
      <c r="CP12" t="e">
        <f>AR_Cmd_Acces_Modif!K:K*"'&lt;!1)"</f>
        <v>#VALUE!</v>
      </c>
      <c r="CQ12" t="e">
        <f>AR_Cmd_Acces_Modif!L:L*"'&lt;!1."</f>
        <v>#VALUE!</v>
      </c>
      <c r="CR12" t="e">
        <f>AR_Cmd_Acces_Modif!M:M*"'&lt;!1/"</f>
        <v>#VALUE!</v>
      </c>
      <c r="CS12" t="e">
        <f>AR_Cmd_Acces_Modif!N:N*"'&lt;!10"</f>
        <v>#VALUE!</v>
      </c>
      <c r="CT12" t="e">
        <f>AR_Cmd_Acces_Modif!O:O*"'&lt;!11"</f>
        <v>#VALUE!</v>
      </c>
      <c r="CU12" t="e">
        <f>AR_Cmd_Acces_Modif!P:P*"'&lt;!12"</f>
        <v>#VALUE!</v>
      </c>
      <c r="CV12" t="e">
        <f>AR_Cmd_Acces_Modif!Q:Q*"'&lt;!13"</f>
        <v>#VALUE!</v>
      </c>
      <c r="CW12" t="e">
        <f>AR_Cmd_Acces_Modif!R:R*"'&lt;!14"</f>
        <v>#VALUE!</v>
      </c>
      <c r="CX12" t="e">
        <f>AR_Cmd_Acces_Modif!S:S*"'&lt;!15"</f>
        <v>#VALUE!</v>
      </c>
      <c r="CY12" t="e">
        <f>AR_Cmd_Acces_Modif!T:T*"'&lt;!16"</f>
        <v>#VALUE!</v>
      </c>
      <c r="CZ12" t="e">
        <f>AR_Cmd_Acces_Modif!U:U*"'&lt;!17"</f>
        <v>#VALUE!</v>
      </c>
      <c r="DA12" t="e">
        <f>AR_Cmd_Acces_Modif!V:V*"'&lt;!18"</f>
        <v>#VALUE!</v>
      </c>
      <c r="DB12" t="e">
        <f>AR_Cmd_Acces_Modif!W:W*"'&lt;!19"</f>
        <v>#VALUE!</v>
      </c>
      <c r="DC12" t="e">
        <f>AR_Cmd_Acces_Modif!X:X*"'&lt;!1:"</f>
        <v>#VALUE!</v>
      </c>
      <c r="DD12" t="e">
        <f>AR_Cmd_Acces_Modif!Y:Y*"'&lt;!1;"</f>
        <v>#VALUE!</v>
      </c>
      <c r="DE12" t="e">
        <f>AR_Cmd_Acces_Modif!Z:Z*"'&lt;!1&lt;"</f>
        <v>#VALUE!</v>
      </c>
      <c r="DF12" t="e">
        <f>AR_Cmd_Acces_Modif!AA:AA*"'&lt;!1="</f>
        <v>#VALUE!</v>
      </c>
      <c r="DG12" t="e">
        <f>AR_Cmd_Acces_Modif!AB:AB*"'&lt;!1&gt;"</f>
        <v>#VALUE!</v>
      </c>
      <c r="DH12" t="e">
        <f>AR_Cmd_Acces_Modif!AC:AC*"'&lt;!1?"</f>
        <v>#VALUE!</v>
      </c>
      <c r="DI12" t="e">
        <f>AR_Cmd_Acces_Modif!AD:AD*"'&lt;!1@"</f>
        <v>#VALUE!</v>
      </c>
      <c r="DJ12" t="e">
        <f>AR_Cmd_Acces_Modif!AE:AE*"'&lt;!1A"</f>
        <v>#VALUE!</v>
      </c>
      <c r="DK12" t="e">
        <f>AR_Cmd_Acces_Modif!AF:AF*"'&lt;!1B"</f>
        <v>#VALUE!</v>
      </c>
      <c r="DL12" t="e">
        <f>AR_Cmd_Acces_Modif!AG:AG*"'&lt;!1C"</f>
        <v>#VALUE!</v>
      </c>
      <c r="DM12" t="e">
        <f>AR_Cmd_Acces_Modif!AH:AH*"'&lt;!1D"</f>
        <v>#VALUE!</v>
      </c>
      <c r="DN12" t="e">
        <f>AR_Cmd_Acces_Modif!AI:AI*"'&lt;!1E"</f>
        <v>#VALUE!</v>
      </c>
      <c r="DO12" t="e">
        <f>AR_Cmd_Acces_Modif!AJ:AJ*"'&lt;!1F"</f>
        <v>#VALUE!</v>
      </c>
      <c r="DP12" t="e">
        <f>AR_Cmd_Acces_Modif!AK:AK*"'&lt;!1G"</f>
        <v>#VALUE!</v>
      </c>
      <c r="DQ12" t="e">
        <f>AR_Cmd_Acces_Modif!AL:AL*"'&lt;!1H"</f>
        <v>#VALUE!</v>
      </c>
      <c r="DR12" t="e">
        <f>AR_Cmd_Acces_Modif!AM:AM*"'&lt;!1I"</f>
        <v>#VALUE!</v>
      </c>
      <c r="DS12" t="e">
        <f>AR_Cmd_Acces_Modif!AN:AN*"'&lt;!1J"</f>
        <v>#VALUE!</v>
      </c>
      <c r="DT12" t="e">
        <f>AR_Cmd_Acces_Modif!AO:AO*"'&lt;!1K"</f>
        <v>#VALUE!</v>
      </c>
      <c r="DU12" t="e">
        <f>AR_Cmd_Acces_Modif!AP:AP*"'&lt;!1L"</f>
        <v>#VALUE!</v>
      </c>
      <c r="DV12" t="e">
        <f>AR_Cmd_Acces_Modif!AQ:AQ*"'&lt;!1M"</f>
        <v>#VALUE!</v>
      </c>
      <c r="DW12" t="e">
        <f>AR_Cmd_Acces_Modif!AR:AR*"'&lt;!1N"</f>
        <v>#VALUE!</v>
      </c>
      <c r="DX12" t="e">
        <f>AR_Cmd_Acces_Modif!AS:AS*"'&lt;!1O"</f>
        <v>#VALUE!</v>
      </c>
      <c r="DY12" t="e">
        <f>AR_Cmd_Acces_Modif!AT:AT*"'&lt;!1P"</f>
        <v>#VALUE!</v>
      </c>
      <c r="DZ12" t="e">
        <f>AR_Cmd_Acces_Modif!AU:AU*"'&lt;!1Q"</f>
        <v>#VALUE!</v>
      </c>
      <c r="EA12" t="e">
        <f>AR_Cmd_Acces_Modif!AV:AV*"'&lt;!1R"</f>
        <v>#VALUE!</v>
      </c>
      <c r="EB12" t="e">
        <f>AR_Cmd_Acces_Modif!AW:AW*"'&lt;!1S"</f>
        <v>#VALUE!</v>
      </c>
      <c r="EC12" t="e">
        <f>AR_Cmd_Acces_Modif!AX:AX*"'&lt;!1T"</f>
        <v>#VALUE!</v>
      </c>
      <c r="ED12" t="e">
        <f>AR_Cmd_Acces_Modif!AY:AY*"'&lt;!1U"</f>
        <v>#VALUE!</v>
      </c>
      <c r="EE12" t="e">
        <f>AR_Cmd_Acces_Modif!AZ:AZ*"'&lt;!1V"</f>
        <v>#VALUE!</v>
      </c>
      <c r="EF12" t="e">
        <f>AR_Cmd_Acces_Modif!BA:BA*"'&lt;!1W"</f>
        <v>#VALUE!</v>
      </c>
      <c r="EG12" t="e">
        <f>AR_Cmd_Acces_Modif!BB:BB*"'&lt;!1X"</f>
        <v>#VALUE!</v>
      </c>
      <c r="EH12" t="e">
        <f>AR_Cmd_Acces_Modif!BC:BC*"'&lt;!1Y"</f>
        <v>#VALUE!</v>
      </c>
      <c r="EI12" t="e">
        <f>AR_Cmd_Acces_Modif!BD:BD*"'&lt;!1Z"</f>
        <v>#VALUE!</v>
      </c>
      <c r="EJ12" t="e">
        <f>AR_Cmd_Acces_Modif!BE:BE*"'&lt;!1["</f>
        <v>#VALUE!</v>
      </c>
      <c r="EK12" t="e">
        <f>AR_Cmd_Acces_Modif!BF:BF*"'&lt;!1\"</f>
        <v>#VALUE!</v>
      </c>
      <c r="EL12" t="e">
        <f>AR_Cmd_Acces_Modif!1:1-"'&lt;!1]"</f>
        <v>#VALUE!</v>
      </c>
      <c r="EM12" t="e">
        <f>AR_Cmd_Acces_Modif!2:2-"'&lt;!1^"</f>
        <v>#VALUE!</v>
      </c>
      <c r="EN12" t="e">
        <f>AR_Cmd_Acces_Modif!3:3-"'&lt;!1_"</f>
        <v>#VALUE!</v>
      </c>
      <c r="EO12" t="e">
        <f>AR_Cmd_Acces_Modif!4:4-"'&lt;!1`"</f>
        <v>#VALUE!</v>
      </c>
      <c r="EP12" t="e">
        <f>AR_Cmd_Acces_Modif!5:5-"'&lt;!1a"</f>
        <v>#VALUE!</v>
      </c>
      <c r="EQ12" t="e">
        <f>AR_Cmd_Acces_Modif!6:6-"'&lt;!1b"</f>
        <v>#VALUE!</v>
      </c>
      <c r="ER12" t="e">
        <f>AR_Cmd_Acces_Modif!7:7-"'&lt;!1c"</f>
        <v>#VALUE!</v>
      </c>
      <c r="ES12" t="e">
        <f>AR_Cmd_Acces_Modif!8:8-"'&lt;!1d"</f>
        <v>#VALUE!</v>
      </c>
      <c r="ET12" t="e">
        <f>AR_Cmd_Acces_Modif!9:9-"'&lt;!1e"</f>
        <v>#VALUE!</v>
      </c>
      <c r="EU12" t="e">
        <f>AR_Cmd_Acces_Modif!10:10-"'&lt;!1f"</f>
        <v>#VALUE!</v>
      </c>
      <c r="EV12" t="e">
        <f>AR_Cmd_Acces_Modif!11:11-"'&lt;!1g"</f>
        <v>#VALUE!</v>
      </c>
      <c r="EW12" t="e">
        <f>AR_Cmd_Acces_Modif!12:12-"'&lt;!1h"</f>
        <v>#VALUE!</v>
      </c>
      <c r="EX12" t="e">
        <f>AR_Cmd_Acces_Modif!13:13-"'&lt;!1i"</f>
        <v>#VALUE!</v>
      </c>
      <c r="EY12" t="e">
        <f>AR_Cmd_Acces_Modif!14:14-"'&lt;!1j"</f>
        <v>#VALUE!</v>
      </c>
      <c r="EZ12" t="e">
        <f>AR_Cmd_Acces_Modif!15:15-"'&lt;!1k"</f>
        <v>#VALUE!</v>
      </c>
      <c r="FA12" t="e">
        <f>AR_Cmd_Acces_Modif!16:16-"'&lt;!1l"</f>
        <v>#VALUE!</v>
      </c>
      <c r="FB12" t="e">
        <f>AR_Cmd_Acces_Modif!17:17-"'&lt;!1m"</f>
        <v>#VALUE!</v>
      </c>
      <c r="FC12" t="e">
        <f>AR_Cmd_Acces_Modif!18:18-"'&lt;!1n"</f>
        <v>#VALUE!</v>
      </c>
      <c r="FD12" t="e">
        <f>AR_Cmd_Acces_Modif!19:19-"'&lt;!1o"</f>
        <v>#VALUE!</v>
      </c>
      <c r="FE12" t="e">
        <f>AR_Cmd_Acces_Modif!20:20-"'&lt;!1p"</f>
        <v>#VALUE!</v>
      </c>
      <c r="FF12" t="e">
        <f>AR_Cmd_Acces_Modif!21:21-"'&lt;!1q"</f>
        <v>#VALUE!</v>
      </c>
      <c r="FG12" t="e">
        <f>AR_Cmd_Acces_Modif!22:22-"'&lt;!1r"</f>
        <v>#VALUE!</v>
      </c>
      <c r="FH12" t="e">
        <f>AR_Cmd_Acces_Modif!23:23-"'&lt;!1s"</f>
        <v>#VALUE!</v>
      </c>
      <c r="FI12" t="e">
        <f>AR_Cmd_Acces_Modif!24:24-"'&lt;!1t"</f>
        <v>#VALUE!</v>
      </c>
      <c r="FJ12" t="e">
        <f>AR_Cmd_Acces_Modif!25:25-"'&lt;!1u"</f>
        <v>#VALUE!</v>
      </c>
      <c r="FK12" t="e">
        <f>AR_Cmd_Acces_Modif!26:26-"'&lt;!1v"</f>
        <v>#VALUE!</v>
      </c>
      <c r="FL12" t="e">
        <f>AR_Cmd_Acces_Modif!27:27-"'&lt;!1w"</f>
        <v>#VALUE!</v>
      </c>
      <c r="FM12" t="e">
        <f>AR_Cmd_Acces_Modif!28:28-"'&lt;!1x"</f>
        <v>#VALUE!</v>
      </c>
      <c r="FN12" t="e">
        <f>AR_Cmd_Acces_Modif!29:29-"'&lt;!1y"</f>
        <v>#VALUE!</v>
      </c>
      <c r="FO12" t="e">
        <f>AR_Cmd_Acces_Modif!30:30-"'&lt;!1z"</f>
        <v>#VALUE!</v>
      </c>
      <c r="FP12" t="e">
        <f>AR_Cmd_Acces_Modif!31:31-"'&lt;!1{"</f>
        <v>#VALUE!</v>
      </c>
      <c r="FQ12" t="e">
        <f>AR_Cmd_Acces_Modif!32:32-"'&lt;!1|"</f>
        <v>#VALUE!</v>
      </c>
      <c r="FR12" t="e">
        <f>AR_Cmd_Acces_Modif!33:33-"'&lt;!1}"</f>
        <v>#VALUE!</v>
      </c>
      <c r="FS12" t="e">
        <f>AR_Cmd_Acces_Modif!34:34-"'&lt;!1~"</f>
        <v>#VALUE!</v>
      </c>
      <c r="FT12" t="e">
        <f>AR_Cmd_Acces_Modif!35:35-"'&lt;!2#"</f>
        <v>#VALUE!</v>
      </c>
      <c r="FU12" t="e">
        <f>AR_Cmd_Acces_Modif!36:36-"'&lt;!2$"</f>
        <v>#VALUE!</v>
      </c>
      <c r="FV12" t="e">
        <f>AR_Cmd_Acces_Modif!37:37-"'&lt;!2%"</f>
        <v>#VALUE!</v>
      </c>
      <c r="FW12" t="e">
        <f>AR_Cmd_Acces_Modif!38:38-"'&lt;!2&amp;"</f>
        <v>#VALUE!</v>
      </c>
      <c r="FX12" t="e">
        <f>AR_Cmd_Acces_Modif!39:39-"'&lt;!2'"</f>
        <v>#VALUE!</v>
      </c>
      <c r="FY12" t="e">
        <f>AR_Cmd_Acces_Modif!40:40-"'&lt;!2("</f>
        <v>#VALUE!</v>
      </c>
      <c r="FZ12" t="e">
        <f>AR_Cmd_Acces_Modif!41:41-"'&lt;!2)"</f>
        <v>#VALUE!</v>
      </c>
      <c r="GA12" t="e">
        <f>AR_Cmd_Acces_Modif!42:42-"'&lt;!2."</f>
        <v>#VALUE!</v>
      </c>
      <c r="GB12" t="e">
        <f>AR_Cmd_Acces_Modif!43:43-"'&lt;!2/"</f>
        <v>#VALUE!</v>
      </c>
      <c r="GC12" t="e">
        <f>AR_Cmd_Acces_Modif!44:44-"'&lt;!20"</f>
        <v>#VALUE!</v>
      </c>
      <c r="GD12" t="e">
        <f>AR_Cmd_Acces_Modif!45:45-"'&lt;!21"</f>
        <v>#VALUE!</v>
      </c>
      <c r="GE12" t="e">
        <f>AR_Cmd_Acces_Modif!46:46-"'&lt;!22"</f>
        <v>#VALUE!</v>
      </c>
      <c r="GF12" t="e">
        <f>AR_Cmd_Acces_Modif!47:47-"'&lt;!23"</f>
        <v>#VALUE!</v>
      </c>
      <c r="GG12" t="e">
        <f>AR_Cmd_Acces_Modif!48:48-"'&lt;!24"</f>
        <v>#VALUE!</v>
      </c>
      <c r="GH12" t="e">
        <f>AR_Cmd_Acces_Modif!49:49-"'&lt;!25"</f>
        <v>#VALUE!</v>
      </c>
      <c r="GI12" t="e">
        <f>AR_Cmd_Acces_Modif!50:50-"'&lt;!26"</f>
        <v>#VALUE!</v>
      </c>
      <c r="GJ12" t="e">
        <f>AR_Cmd_Acces_Modif!51:51-"'&lt;!27"</f>
        <v>#VALUE!</v>
      </c>
      <c r="GK12" t="e">
        <f>AR_Cmd_Acces_Modif!52:52-"'&lt;!28"</f>
        <v>#VALUE!</v>
      </c>
      <c r="GL12" t="e">
        <f>AR_Cmd_Acces_Modif!53:53-"'&lt;!29"</f>
        <v>#VALUE!</v>
      </c>
      <c r="GM12" t="e">
        <f>AR_Cmd_Acces_Modif!54:54-"'&lt;!2:"</f>
        <v>#VALUE!</v>
      </c>
      <c r="GN12" t="e">
        <f>AR_Cmd_Acces_Modif!55:55-"'&lt;!2;"</f>
        <v>#VALUE!</v>
      </c>
      <c r="GO12" t="e">
        <f>AR_Cmd_Acces_Modif!56:56-"'&lt;!2&lt;"</f>
        <v>#VALUE!</v>
      </c>
      <c r="GP12" t="e">
        <f>AR_Cmd_Acces_Modif!57:57-"'&lt;!2="</f>
        <v>#VALUE!</v>
      </c>
      <c r="GQ12" t="e">
        <f>AR_Cmd_Acces_Modif!58:58-"'&lt;!2&gt;"</f>
        <v>#VALUE!</v>
      </c>
      <c r="GR12" t="e">
        <f>AR_Cmd_Acces_Modif!59:59-"'&lt;!2?"</f>
        <v>#VALUE!</v>
      </c>
      <c r="GS12" t="e">
        <f>AR_Cmd_Acces_Modif!60:60-"'&lt;!2@"</f>
        <v>#VALUE!</v>
      </c>
      <c r="GT12" t="e">
        <f>AR_Cmd_Acces_Modif!61:61-"'&lt;!2A"</f>
        <v>#VALUE!</v>
      </c>
      <c r="GU12" t="e">
        <f>AR_Cmd_Acces_Modif!62:62-"'&lt;!2B"</f>
        <v>#VALUE!</v>
      </c>
      <c r="GV12" t="e">
        <f>AR_Cmd_Acces_Modif!63:63-"'&lt;!2C"</f>
        <v>#VALUE!</v>
      </c>
      <c r="GW12" t="e">
        <f>AR_Cmd_Acces_Modif!64:64-"'&lt;!2D"</f>
        <v>#VALUE!</v>
      </c>
      <c r="GX12" t="e">
        <f>AR_Cmd_Acces_Modif!65:65-"'&lt;!2E"</f>
        <v>#VALUE!</v>
      </c>
      <c r="GY12" t="e">
        <f>AR_Cmd_Acces_Modif!66:66-"'&lt;!2F"</f>
        <v>#VALUE!</v>
      </c>
      <c r="GZ12" t="e">
        <f>AR_Cmd_Acces_Modif!67:67-"'&lt;!2G"</f>
        <v>#VALUE!</v>
      </c>
      <c r="HA12" t="e">
        <f>AR_Cmd_Acces_Modif!68:68-"'&lt;!2H"</f>
        <v>#VALUE!</v>
      </c>
      <c r="HB12" t="e">
        <f>AR_Cmd_Acces_Modif!69:69-"'&lt;!2I"</f>
        <v>#VALUE!</v>
      </c>
      <c r="HC12" t="e">
        <f>AR_Cmd_Acces_Modif!70:70-"'&lt;!2J"</f>
        <v>#VALUE!</v>
      </c>
      <c r="HD12" t="e">
        <f>AR_Cmd_Acces_Modif!71:71-"'&lt;!2K"</f>
        <v>#VALUE!</v>
      </c>
      <c r="HE12" t="e">
        <f>AR_Cmd_Acces_Modif!72:72-"'&lt;!2L"</f>
        <v>#VALUE!</v>
      </c>
      <c r="HF12" t="e">
        <f>AR_Cmd_Acces_Modif!73:73-"'&lt;!2M"</f>
        <v>#VALUE!</v>
      </c>
      <c r="HG12" t="e">
        <f>AR_Cmd_Acces_Modif!74:74-"'&lt;!2N"</f>
        <v>#VALUE!</v>
      </c>
      <c r="HH12" t="e">
        <f>AR_Cmd_Acces_Modif!75:75-"'&lt;!2O"</f>
        <v>#VALUE!</v>
      </c>
      <c r="HI12" t="e">
        <f>AR_Cmd_Acces_Modif!76:76-"'&lt;!2P"</f>
        <v>#VALUE!</v>
      </c>
      <c r="HJ12" t="e">
        <f>AR_Cmd_Acces_Modif!77:77-"'&lt;!2Q"</f>
        <v>#VALUE!</v>
      </c>
      <c r="HK12" t="e">
        <f>AR_Cmd_Acces_Modif!78:78-"'&lt;!2R"</f>
        <v>#VALUE!</v>
      </c>
      <c r="HL12" t="e">
        <f>AR_Cmd_Acces_Modif!79:79-"'&lt;!2S"</f>
        <v>#VALUE!</v>
      </c>
      <c r="HM12" t="e">
        <f>AR_Cmd_Acces_Modif!80:80-"'&lt;!2T"</f>
        <v>#VALUE!</v>
      </c>
      <c r="HN12" t="e">
        <f>AR_Cmd_Acces_Modif!81:81-"'&lt;!2U"</f>
        <v>#VALUE!</v>
      </c>
      <c r="HO12" t="e">
        <f>AR_Cmd_Acces_Modif!82:82-"'&lt;!2V"</f>
        <v>#VALUE!</v>
      </c>
      <c r="HP12" t="e">
        <f>AR_Cmd_Acces_Modif!83:83-"'&lt;!2W"</f>
        <v>#VALUE!</v>
      </c>
      <c r="HQ12" t="e">
        <f>AR_Cmd_Acces_Modif!84:84-"'&lt;!2X"</f>
        <v>#VALUE!</v>
      </c>
      <c r="HR12" t="e">
        <f>AR_Cmd_Acces_Modif!85:85-"'&lt;!2Y"</f>
        <v>#VALUE!</v>
      </c>
      <c r="HS12" t="e">
        <f>AR_Cmd_Acces_Modif!86:86-"'&lt;!2Z"</f>
        <v>#VALUE!</v>
      </c>
      <c r="HT12" t="e">
        <f>AR_Cmd_Acces_Modif!87:87-"'&lt;!2["</f>
        <v>#VALUE!</v>
      </c>
      <c r="HU12" t="e">
        <f>AR_Cmd_Acces_Modif!88:88-"'&lt;!2\"</f>
        <v>#VALUE!</v>
      </c>
      <c r="HV12" t="e">
        <f>AR_Cmd_Acces_Modif!89:89-"'&lt;!2]"</f>
        <v>#VALUE!</v>
      </c>
      <c r="HW12" t="e">
        <f>AR_Cmd_Acces_Modif!90:90-"'&lt;!2^"</f>
        <v>#VALUE!</v>
      </c>
      <c r="HX12" t="e">
        <f>AR_Cmd_Acces_Modif!91:91-"'&lt;!2_"</f>
        <v>#VALUE!</v>
      </c>
      <c r="HY12" t="e">
        <f>AR_Cmd_Acces_Modif!92:92-"'&lt;!2`"</f>
        <v>#VALUE!</v>
      </c>
      <c r="HZ12" t="e">
        <f>AR_Cmd_Acces_Modif!93:93-"'&lt;!2a"</f>
        <v>#VALUE!</v>
      </c>
      <c r="IA12" t="e">
        <f>AR_Cmd_Acces_Modif!94:94-"'&lt;!2b"</f>
        <v>#VALUE!</v>
      </c>
      <c r="IB12" t="e">
        <f>AR_Cmd_Acces_Modif!95:95-"'&lt;!2c"</f>
        <v>#VALUE!</v>
      </c>
      <c r="IC12" t="e">
        <f>AR_Cmd_Acces_Modif!96:96-"'&lt;!2d"</f>
        <v>#VALUE!</v>
      </c>
      <c r="ID12" t="e">
        <f>AR_Cmd_Acces_Modif!97:97-"'&lt;!2e"</f>
        <v>#VALUE!</v>
      </c>
      <c r="IE12" t="e">
        <f>AR_Cmd_Acces_Modif!98:98-"'&lt;!2f"</f>
        <v>#VALUE!</v>
      </c>
      <c r="IF12" t="e">
        <f>AR_Cmd_Acces_Modif!99:99-"'&lt;!2g"</f>
        <v>#VALUE!</v>
      </c>
      <c r="IG12" t="e">
        <f>AR_Cmd_Acces_Modif!100:100-"'&lt;!2h"</f>
        <v>#VALUE!</v>
      </c>
      <c r="IH12" t="e">
        <f>AR_Cmd_Acces_Modif!101:101-"'&lt;!2i"</f>
        <v>#VALUE!</v>
      </c>
      <c r="II12" t="e">
        <f>AR_Cmd_Acces_Modif!102:102-"'&lt;!2j"</f>
        <v>#VALUE!</v>
      </c>
      <c r="IJ12" t="e">
        <f>AR_Cmd_Acces_Modif!103:103-"'&lt;!2k"</f>
        <v>#VALUE!</v>
      </c>
      <c r="IK12" t="e">
        <f>AR_Cmd_Acces_Modif!104:104-"'&lt;!2l"</f>
        <v>#VALUE!</v>
      </c>
      <c r="IL12" t="e">
        <f>AR_Cmd_Acces_Modif!105:105-"'&lt;!2m"</f>
        <v>#VALUE!</v>
      </c>
      <c r="IM12" t="e">
        <f>AR_Cmd_Acces_Modif!106:106-"'&lt;!2n"</f>
        <v>#VALUE!</v>
      </c>
      <c r="IN12" t="e">
        <f>AR_Cmd_Acces_Modif!107:107-"'&lt;!2o"</f>
        <v>#VALUE!</v>
      </c>
      <c r="IO12" t="e">
        <f>AR_Cmd_Acces_Modif!108:108-"'&lt;!2p"</f>
        <v>#VALUE!</v>
      </c>
      <c r="IP12" t="e">
        <f>AR_Cmd_Acces_Modif!109:109-"'&lt;!2q"</f>
        <v>#VALUE!</v>
      </c>
      <c r="IQ12" t="e">
        <f>AR_Cmd_Acces_Modif!110:110-"'&lt;!2r"</f>
        <v>#VALUE!</v>
      </c>
      <c r="IR12" t="e">
        <f>AR_Cmd_Acces_Modif!111:111-"'&lt;!2s"</f>
        <v>#VALUE!</v>
      </c>
      <c r="IS12" t="e">
        <f>AR_Cmd_Acces_Modif!112:112-"'&lt;!2t"</f>
        <v>#VALUE!</v>
      </c>
      <c r="IT12" t="e">
        <f>AR_Cmd_Acces_Modif!113:113-"'&lt;!2u"</f>
        <v>#VALUE!</v>
      </c>
      <c r="IU12" t="e">
        <f>AR_Cmd_Acces_Modif!114:114-"'&lt;!2v"</f>
        <v>#VALUE!</v>
      </c>
      <c r="IV12" t="e">
        <f>AR_Cmd_Acces_Modif!115:115-"'&lt;!2w"</f>
        <v>#VALUE!</v>
      </c>
    </row>
    <row r="13" spans="1:256">
      <c r="F13" t="e">
        <f>AR_Cmd_Acces_Modif!116:116-"'&lt;!2x"</f>
        <v>#VALUE!</v>
      </c>
      <c r="G13" t="e">
        <f>AR_Cmd_Acces_Modif!117:117-"'&lt;!2y"</f>
        <v>#VALUE!</v>
      </c>
      <c r="H13" t="e">
        <f>AR_Cmd_Acces_Modif!118:118-"'&lt;!2z"</f>
        <v>#VALUE!</v>
      </c>
      <c r="I13" t="e">
        <f>AR_Cmd_Acces_Modif!119:119-"'&lt;!2{"</f>
        <v>#VALUE!</v>
      </c>
      <c r="J13" t="e">
        <f>AR_Cmd_Acces_Modif!120:120-"'&lt;!2|"</f>
        <v>#VALUE!</v>
      </c>
      <c r="K13" t="e">
        <f>AR_Cmd_Acces_Modif!121:121-"'&lt;!2}"</f>
        <v>#VALUE!</v>
      </c>
      <c r="L13" t="e">
        <f>AR_Cmd_Acces_Modif!122:122-"'&lt;!2~"</f>
        <v>#VALUE!</v>
      </c>
      <c r="M13" t="e">
        <f>AR_Cmd_Acces_Modif!123:123-"'&lt;!3#"</f>
        <v>#VALUE!</v>
      </c>
      <c r="N13" t="e">
        <f>AR_Cmd_Acces_Modif!124:124-"'&lt;!3$"</f>
        <v>#VALUE!</v>
      </c>
      <c r="O13" t="e">
        <f>AR_Cmd_Acces_Modif!125:125-"'&lt;!3%"</f>
        <v>#VALUE!</v>
      </c>
      <c r="P13" t="e">
        <f>AR_Cmd_Acces_Modif!126:126-"'&lt;!3&amp;"</f>
        <v>#VALUE!</v>
      </c>
      <c r="Q13" t="e">
        <f>AR_Cmd_Acces_Modif!127:127-"'&lt;!3'"</f>
        <v>#VALUE!</v>
      </c>
      <c r="R13" t="e">
        <f>AR_Cmd_Acces_Modif!128:128-"'&lt;!3("</f>
        <v>#VALUE!</v>
      </c>
      <c r="S13" t="e">
        <f>AR_Cmd_Acces_Modif!129:129-"'&lt;!3)"</f>
        <v>#VALUE!</v>
      </c>
      <c r="T13" t="e">
        <f>AR_Cmd_Acces_Modif!130:130-"'&lt;!3."</f>
        <v>#VALUE!</v>
      </c>
      <c r="U13" t="e">
        <f>AR_Cmd_Acces_Modif!131:131-"'&lt;!3/"</f>
        <v>#VALUE!</v>
      </c>
      <c r="V13" t="e">
        <f>AR_Cmd_Acces_Modif!132:132-"'&lt;!30"</f>
        <v>#VALUE!</v>
      </c>
      <c r="W13" t="e">
        <f>AR_Cmd_Acces_Modif!133:133-"'&lt;!31"</f>
        <v>#VALUE!</v>
      </c>
      <c r="X13" t="e">
        <f>AR_Cmd_Acces_Modif!134:134-"'&lt;!32"</f>
        <v>#VALUE!</v>
      </c>
      <c r="Y13" t="e">
        <f>AR_Cmd_Acces_Modif!135:135-"'&lt;!33"</f>
        <v>#VALUE!</v>
      </c>
      <c r="Z13" t="e">
        <f>AR_Cmd_Acces_Modif!136:136-"'&lt;!34"</f>
        <v>#VALUE!</v>
      </c>
      <c r="AA13" t="e">
        <f>AR_Cmd_Acces_Modif!137:137-"'&lt;!35"</f>
        <v>#VALUE!</v>
      </c>
      <c r="AB13" t="e">
        <f>AR_Cmd_Acces_Modif!138:138-"'&lt;!36"</f>
        <v>#VALUE!</v>
      </c>
      <c r="AC13" t="e">
        <f>AR_Cmd_Acces_Modif!139:139-"'&lt;!37"</f>
        <v>#VALUE!</v>
      </c>
      <c r="AD13" t="e">
        <f>AR_Cmd_Acces_Modif!140:140-"'&lt;!38"</f>
        <v>#VALUE!</v>
      </c>
      <c r="AE13" t="e">
        <f>AR_Cmd_Acces_Modif!141:141-"'&lt;!39"</f>
        <v>#VALUE!</v>
      </c>
      <c r="AF13" t="e">
        <f>AR_Cmd_Acces_Modif!142:142-"'&lt;!3:"</f>
        <v>#VALUE!</v>
      </c>
      <c r="AG13" t="e">
        <f>AR_Cmd_Acces_Modif!143:143-"'&lt;!3;"</f>
        <v>#VALUE!</v>
      </c>
      <c r="AH13" t="e">
        <f>AR_Cmd_Acces_Modif!144:144-"'&lt;!3&lt;"</f>
        <v>#VALUE!</v>
      </c>
      <c r="AI13" t="e">
        <f>AR_Cmd_Acces_Modif!145:145-"'&lt;!3="</f>
        <v>#VALUE!</v>
      </c>
      <c r="AJ13" t="e">
        <f>AR_Cmd_Acces_Modif!146:146-"'&lt;!3&gt;"</f>
        <v>#VALUE!</v>
      </c>
      <c r="AK13" t="e">
        <f>AR_Cmd_Acces_Modif!147:147-"'&lt;!3?"</f>
        <v>#VALUE!</v>
      </c>
      <c r="AL13" t="e">
        <f>AR_Cmd_Acces_Modif!148:148-"'&lt;!3@"</f>
        <v>#VALUE!</v>
      </c>
      <c r="AM13" t="e">
        <f>AR_Cmd_Acces_Modif!149:149-"'&lt;!3A"</f>
        <v>#VALUE!</v>
      </c>
      <c r="AN13" t="e">
        <f>AR_Cmd_Acces_Modif!150:150-"'&lt;!3B"</f>
        <v>#VALUE!</v>
      </c>
      <c r="AO13" t="e">
        <f>AR_Cmd_Acces_Modif!151:151-"'&lt;!3C"</f>
        <v>#VALUE!</v>
      </c>
      <c r="AP13" t="e">
        <f>AR_Cmd_Acces_Modif!152:152-"'&lt;!3D"</f>
        <v>#VALUE!</v>
      </c>
      <c r="AQ13" t="e">
        <f>AR_Cmd_Acces_Modif!153:153-"'&lt;!3E"</f>
        <v>#VALUE!</v>
      </c>
      <c r="AR13" t="e">
        <f>AR_Cmd_Acces_Modif!154:154-"'&lt;!3F"</f>
        <v>#VALUE!</v>
      </c>
      <c r="AS13" t="e">
        <f>AR_Cmd_Acces_Modif!155:155-"'&lt;!3G"</f>
        <v>#VALUE!</v>
      </c>
      <c r="AT13" t="e">
        <f>AR_Cmd_Acces_Modif!156:156-"'&lt;!3H"</f>
        <v>#VALUE!</v>
      </c>
      <c r="AU13" t="e">
        <f>AR_Cmd_Acces_Modif!157:157-"'&lt;!3I"</f>
        <v>#VALUE!</v>
      </c>
      <c r="AV13" t="e">
        <f>AR_Cmd_Acces_Modif!158:158-"'&lt;!3J"</f>
        <v>#VALUE!</v>
      </c>
      <c r="AW13" t="e">
        <f>AR_Cmd_Acces_Modif!159:159-"'&lt;!3K"</f>
        <v>#VALUE!</v>
      </c>
      <c r="AX13" t="e">
        <f>AR_Cmd_Acces_Modif!160:160-"'&lt;!3L"</f>
        <v>#VALUE!</v>
      </c>
      <c r="AY13" t="e">
        <f>AR_Cmd_Acces_Modif!161:161-"'&lt;!3M"</f>
        <v>#VALUE!</v>
      </c>
      <c r="AZ13" t="e">
        <f>AR_Cmd_Acces_Modif!162:162-"'&lt;!3N"</f>
        <v>#VALUE!</v>
      </c>
      <c r="BA13" t="e">
        <f>AR_Cmd_Acces_Modif!163:163-"'&lt;!3O"</f>
        <v>#VALUE!</v>
      </c>
      <c r="BB13" t="e">
        <f>AR_Cmd_Acces_Modif!164:164-"'&lt;!3P"</f>
        <v>#VALUE!</v>
      </c>
      <c r="BC13" t="e">
        <f>AR_Cmd_Acces_Modif!165:165-"'&lt;!3Q"</f>
        <v>#VALUE!</v>
      </c>
      <c r="BD13" t="e">
        <f>AR_Cmd_Acces_Modif!166:166-"'&lt;!3R"</f>
        <v>#VALUE!</v>
      </c>
      <c r="BE13" t="e">
        <f>AR_Cmd_Acces_Modif!167:167-"'&lt;!3S"</f>
        <v>#VALUE!</v>
      </c>
      <c r="BF13" t="e">
        <f>AR_Cmd_Acces_Modif!168:168-"'&lt;!3T"</f>
        <v>#VALUE!</v>
      </c>
      <c r="BG13" t="e">
        <f>AR_Cmd_Acces_Modif!169:169-"'&lt;!3U"</f>
        <v>#VALUE!</v>
      </c>
      <c r="BH13" t="e">
        <f>AR_Cmd_Acces_Modif!170:170-"'&lt;!3V"</f>
        <v>#VALUE!</v>
      </c>
      <c r="BI13" t="e">
        <f>AR_Cmd_Acces_Modif!171:171-"'&lt;!3W"</f>
        <v>#VALUE!</v>
      </c>
      <c r="BJ13" t="e">
        <f>AR_Cmd_Acces_Modif!172:172-"'&lt;!3X"</f>
        <v>#VALUE!</v>
      </c>
      <c r="BK13" t="e">
        <f>AR_Cmd_Acces_Modif!173:173-"'&lt;!3Y"</f>
        <v>#VALUE!</v>
      </c>
      <c r="BL13" t="e">
        <f>AR_Cmd_Acces_Modif!174:174-"'&lt;!3Z"</f>
        <v>#VALUE!</v>
      </c>
      <c r="BM13" t="e">
        <f>AR_Cmd_Acces_Modif!175:175-"'&lt;!3["</f>
        <v>#VALUE!</v>
      </c>
      <c r="BN13" t="e">
        <f>AR_Cmd_Acces_Modif!176:176-"'&lt;!3\"</f>
        <v>#VALUE!</v>
      </c>
      <c r="BO13" t="e">
        <f>AR_Cmd_Acces_Modif!177:177-"'&lt;!3]"</f>
        <v>#VALUE!</v>
      </c>
      <c r="BP13" t="e">
        <f>AR_Cmd_Acces_Modif!178:178-"'&lt;!3^"</f>
        <v>#VALUE!</v>
      </c>
      <c r="BQ13" t="e">
        <f>AR_Cmd_Acces_Modif!179:179-"'&lt;!3_"</f>
        <v>#VALUE!</v>
      </c>
      <c r="BR13" t="e">
        <f>AR_Cmd_Acces_Modif!180:180-"'&lt;!3`"</f>
        <v>#VALUE!</v>
      </c>
      <c r="BS13" t="e">
        <f>AR_Cmd_Acces_Modif!181:181-"'&lt;!3a"</f>
        <v>#VALUE!</v>
      </c>
      <c r="BT13" t="e">
        <f>AR_Cmd_Acces_Modif!182:182-"'&lt;!3b"</f>
        <v>#VALUE!</v>
      </c>
      <c r="BU13" t="e">
        <f>AR_Cmd_Acces_Modif!183:183-"'&lt;!3c"</f>
        <v>#VALUE!</v>
      </c>
      <c r="BV13" t="e">
        <f>AR_Cmd_Acces_Modif!184:184-"'&lt;!3d"</f>
        <v>#VALUE!</v>
      </c>
      <c r="BW13" t="e">
        <f>AR_Cmd_Acces_Modif!185:185-"'&lt;!3e"</f>
        <v>#VALUE!</v>
      </c>
      <c r="BX13" t="e">
        <f>AR_Cmd_Acces_Modif!186:186-"'&lt;!3f"</f>
        <v>#VALUE!</v>
      </c>
      <c r="BY13" t="e">
        <f>AR_Cmd_Acces_Modif!187:187-"'&lt;!3g"</f>
        <v>#VALUE!</v>
      </c>
      <c r="BZ13" t="e">
        <f>AR_Cmd_Acces_Modif!188:188-"'&lt;!3h"</f>
        <v>#VALUE!</v>
      </c>
      <c r="CA13" t="e">
        <f>AR_Cmd_Acces_Modif!189:189-"'&lt;!3i"</f>
        <v>#VALUE!</v>
      </c>
      <c r="CB13" t="e">
        <f>AR_Cmd_Acces_Modif!190:190-"'&lt;!3j"</f>
        <v>#VALUE!</v>
      </c>
      <c r="CC13" t="e">
        <f>AR_Cmd_Acces_Modif!191:191-"'&lt;!3k"</f>
        <v>#VALUE!</v>
      </c>
      <c r="CD13" t="e">
        <f>AR_Cmd_Acces_Modif!192:192-"'&lt;!3l"</f>
        <v>#VALUE!</v>
      </c>
      <c r="CE13" t="e">
        <f>AR_Cmd_Acces_Modif!193:193-"'&lt;!3m"</f>
        <v>#VALUE!</v>
      </c>
      <c r="CF13" t="e">
        <f>AR_Cmd_Acces_Modif!194:194-"'&lt;!3n"</f>
        <v>#VALUE!</v>
      </c>
      <c r="CG13" t="e">
        <f>AR_Cmd_Acces_Modif!195:195-"'&lt;!3o"</f>
        <v>#VALUE!</v>
      </c>
      <c r="CH13" t="e">
        <f>AR_Cmd_Acces_Modif!196:196-"'&lt;!3p"</f>
        <v>#VALUE!</v>
      </c>
      <c r="CI13" t="e">
        <f>AR_Cmd_Acces_Modif!197:197-"'&lt;!3q"</f>
        <v>#VALUE!</v>
      </c>
      <c r="CJ13" t="e">
        <f>AR_Cmd_Acces_Modif!198:198-"'&lt;!3r"</f>
        <v>#VALUE!</v>
      </c>
      <c r="CK13" t="e">
        <f>AR_Cmd_Acces_Modif!199:199-"'&lt;!3s"</f>
        <v>#VALUE!</v>
      </c>
      <c r="CL13" t="e">
        <f>AR_Cmd_Acces_Modif!200:200-"'&lt;!3t"</f>
        <v>#VALUE!</v>
      </c>
      <c r="CM13" t="e">
        <f>AR_Cmd_Acces_Modif!201:201-"'&lt;!3u"</f>
        <v>#VALUE!</v>
      </c>
      <c r="CN13" t="e">
        <f>AR_Cmd_Acces_Modif!202:202-"'&lt;!3v"</f>
        <v>#VALUE!</v>
      </c>
      <c r="CO13" t="e">
        <f>AR_Cmd_Acces_Modif!203:203-"'&lt;!3w"</f>
        <v>#VALUE!</v>
      </c>
      <c r="CP13" t="e">
        <f>AR_Cmd_Acces_Modif!204:204-"'&lt;!3x"</f>
        <v>#VALUE!</v>
      </c>
      <c r="CQ13" t="e">
        <f>AR_Cmd_Acces_Modif!205:205-"'&lt;!3y"</f>
        <v>#VALUE!</v>
      </c>
      <c r="CR13" t="e">
        <f>AR_Cmd_Acces_Modif!206:206-"'&lt;!3z"</f>
        <v>#VALUE!</v>
      </c>
      <c r="CS13" t="e">
        <f>AR_Cmd_Acces_Modif!207:207-"'&lt;!3{"</f>
        <v>#VALUE!</v>
      </c>
      <c r="CT13" t="e">
        <f>AR_Cmd_Acces_Modif!208:208-"'&lt;!3|"</f>
        <v>#VALUE!</v>
      </c>
      <c r="CU13" t="e">
        <f>AR_Cmd_Acces_Modif!209:209-"'&lt;!3}"</f>
        <v>#VALUE!</v>
      </c>
      <c r="CV13" t="e">
        <f>AR_Cmd_Acces_Modif!210:210-"'&lt;!3~"</f>
        <v>#VALUE!</v>
      </c>
      <c r="CW13" t="e">
        <f>AR_Cmd_Acces_Modif!211:211-"'&lt;!4#"</f>
        <v>#VALUE!</v>
      </c>
      <c r="CX13" t="e">
        <f>AR_Cmd_Acces_Modif!212:212-"'&lt;!4$"</f>
        <v>#VALUE!</v>
      </c>
      <c r="CY13" t="e">
        <f>AR_Cmd_Acces_Modif!213:213-"'&lt;!4%"</f>
        <v>#VALUE!</v>
      </c>
      <c r="CZ13" t="e">
        <f>CR_Cmd_Acces_Modif!A1+"'&lt;!4&amp;"</f>
        <v>#VALUE!</v>
      </c>
      <c r="DA13" t="e">
        <f>CR_Cmd_Acces_Modif!B1+"'&lt;!4'"</f>
        <v>#VALUE!</v>
      </c>
      <c r="DB13" t="e">
        <f>CR_Cmd_Acces_Modif!C1+"'&lt;!4("</f>
        <v>#VALUE!</v>
      </c>
      <c r="DC13" t="e">
        <f>CR_Cmd_Acces_Modif!D1+"'&lt;!4)"</f>
        <v>#VALUE!</v>
      </c>
      <c r="DD13" t="e">
        <f>CR_Cmd_Acces_Modif!F1+"'&lt;!4."</f>
        <v>#VALUE!</v>
      </c>
      <c r="DE13" t="e">
        <f>CR_Cmd_Acces_Modif!A2+"'&lt;!4/"</f>
        <v>#VALUE!</v>
      </c>
      <c r="DF13" t="e">
        <f>CR_Cmd_Acces_Modif!B2+"'&lt;!40"</f>
        <v>#VALUE!</v>
      </c>
      <c r="DG13" t="e">
        <f>CR_Cmd_Acces_Modif!C2+"'&lt;!41"</f>
        <v>#VALUE!</v>
      </c>
      <c r="DH13" t="e">
        <f>CR_Cmd_Acces_Modif!D2+"'&lt;!42"</f>
        <v>#VALUE!</v>
      </c>
      <c r="DI13" t="e">
        <f>CR_Cmd_Acces_Modif!F2+"'&lt;!43"</f>
        <v>#VALUE!</v>
      </c>
      <c r="DJ13" t="e">
        <f>CR_Cmd_Acces_Modif!A3+"'&lt;!44"</f>
        <v>#VALUE!</v>
      </c>
      <c r="DK13" t="e">
        <f>CR_Cmd_Acces_Modif!B3+"'&lt;!45"</f>
        <v>#VALUE!</v>
      </c>
      <c r="DL13" t="e">
        <f>CR_Cmd_Acces_Modif!C3+"'&lt;!46"</f>
        <v>#VALUE!</v>
      </c>
      <c r="DM13" t="e">
        <f>CR_Cmd_Acces_Modif!D3+"'&lt;!47"</f>
        <v>#VALUE!</v>
      </c>
      <c r="DN13" t="e">
        <f>CR_Cmd_Acces_Modif!F3+"'&lt;!48"</f>
        <v>#VALUE!</v>
      </c>
      <c r="DO13" t="e">
        <f>CR_Cmd_Acces_Modif!A4+"'&lt;!49"</f>
        <v>#VALUE!</v>
      </c>
      <c r="DP13" t="e">
        <f>CR_Cmd_Acces_Modif!B4+"'&lt;!4:"</f>
        <v>#VALUE!</v>
      </c>
      <c r="DQ13" t="e">
        <f>CR_Cmd_Acces_Modif!C4+"'&lt;!4;"</f>
        <v>#VALUE!</v>
      </c>
      <c r="DR13" t="e">
        <f>CR_Cmd_Acces_Modif!D4+"'&lt;!4&lt;"</f>
        <v>#VALUE!</v>
      </c>
      <c r="DS13" t="e">
        <f>CR_Cmd_Acces_Modif!E4+"'&lt;!4="</f>
        <v>#VALUE!</v>
      </c>
      <c r="DT13" t="e">
        <f>CR_Cmd_Acces_Modif!F4+"'&lt;!4&gt;"</f>
        <v>#VALUE!</v>
      </c>
      <c r="DU13" t="e">
        <f>CR_Cmd_Acces_Modif!H4+"'&lt;!4?"</f>
        <v>#VALUE!</v>
      </c>
      <c r="DV13" t="e">
        <f>CR_Cmd_Acces_Modif!A5+"'&lt;!4@"</f>
        <v>#VALUE!</v>
      </c>
      <c r="DW13" t="e">
        <f>CR_Cmd_Acces_Modif!B5+"'&lt;!4A"</f>
        <v>#VALUE!</v>
      </c>
      <c r="DX13" t="e">
        <f>CR_Cmd_Acces_Modif!C5+"'&lt;!4B"</f>
        <v>#VALUE!</v>
      </c>
      <c r="DY13" t="e">
        <f>CR_Cmd_Acces_Modif!D5+"'&lt;!4C"</f>
        <v>#VALUE!</v>
      </c>
      <c r="DZ13" t="e">
        <f>CR_Cmd_Acces_Modif!E5+"'&lt;!4D"</f>
        <v>#VALUE!</v>
      </c>
      <c r="EA13" t="e">
        <f>CR_Cmd_Acces_Modif!F5+"'&lt;!4E"</f>
        <v>#VALUE!</v>
      </c>
      <c r="EB13" t="e">
        <f>CR_Cmd_Acces_Modif!H5+"'&lt;!4F"</f>
        <v>#VALUE!</v>
      </c>
      <c r="EC13" t="e">
        <f>CR_Cmd_Acces_Modif!A6+"'&lt;!4G"</f>
        <v>#VALUE!</v>
      </c>
      <c r="ED13" t="e">
        <f>CR_Cmd_Acces_Modif!B6+"'&lt;!4H"</f>
        <v>#VALUE!</v>
      </c>
      <c r="EE13" t="e">
        <f>CR_Cmd_Acces_Modif!C6+"'&lt;!4I"</f>
        <v>#VALUE!</v>
      </c>
      <c r="EF13" t="e">
        <f>CR_Cmd_Acces_Modif!D6+"'&lt;!4J"</f>
        <v>#VALUE!</v>
      </c>
      <c r="EG13" t="e">
        <f>CR_Cmd_Acces_Modif!F6+"'&lt;!4K"</f>
        <v>#VALUE!</v>
      </c>
      <c r="EH13" t="e">
        <f>CR_Cmd_Acces_Modif!A7+"'&lt;!4L"</f>
        <v>#VALUE!</v>
      </c>
      <c r="EI13" t="e">
        <f>CR_Cmd_Acces_Modif!B7+"'&lt;!4M"</f>
        <v>#VALUE!</v>
      </c>
      <c r="EJ13" t="e">
        <f>CR_Cmd_Acces_Modif!C7+"'&lt;!4N"</f>
        <v>#VALUE!</v>
      </c>
      <c r="EK13" t="e">
        <f>CR_Cmd_Acces_Modif!D7+"'&lt;!4O"</f>
        <v>#VALUE!</v>
      </c>
      <c r="EL13" t="e">
        <f>CR_Cmd_Acces_Modif!F7+"'&lt;!4P"</f>
        <v>#VALUE!</v>
      </c>
      <c r="EM13" t="e">
        <f>CR_Cmd_Acces_Modif!A8+"'&lt;!4Q"</f>
        <v>#VALUE!</v>
      </c>
      <c r="EN13" t="e">
        <f>CR_Cmd_Acces_Modif!B8+"'&lt;!4R"</f>
        <v>#VALUE!</v>
      </c>
      <c r="EO13" t="e">
        <f>CR_Cmd_Acces_Modif!C8+"'&lt;!4S"</f>
        <v>#VALUE!</v>
      </c>
      <c r="EP13" t="e">
        <f>CR_Cmd_Acces_Modif!D8+"'&lt;!4T"</f>
        <v>#VALUE!</v>
      </c>
      <c r="EQ13" t="e">
        <f>CR_Cmd_Acces_Modif!F8+"'&lt;!4U"</f>
        <v>#VALUE!</v>
      </c>
      <c r="ER13" t="e">
        <f>CR_Cmd_Acces_Modif!A9+"'&lt;!4V"</f>
        <v>#VALUE!</v>
      </c>
      <c r="ES13" t="e">
        <f>CR_Cmd_Acces_Modif!B9+"'&lt;!4W"</f>
        <v>#VALUE!</v>
      </c>
      <c r="ET13" t="e">
        <f>CR_Cmd_Acces_Modif!C9+"'&lt;!4X"</f>
        <v>#VALUE!</v>
      </c>
      <c r="EU13" t="e">
        <f>CR_Cmd_Acces_Modif!D9+"'&lt;!4Y"</f>
        <v>#VALUE!</v>
      </c>
      <c r="EV13" t="e">
        <f>CR_Cmd_Acces_Modif!F9+"'&lt;!4Z"</f>
        <v>#VALUE!</v>
      </c>
      <c r="EW13" t="e">
        <f>CR_Cmd_Acces_Modif!A11+"'&lt;!4["</f>
        <v>#VALUE!</v>
      </c>
      <c r="EX13" t="e">
        <f>CR_Cmd_Acces_Modif!D11+"'&lt;!4\"</f>
        <v>#VALUE!</v>
      </c>
      <c r="EY13" t="e">
        <f>CR_Cmd_Acces_Modif!A12+"'&lt;!4]"</f>
        <v>#VALUE!</v>
      </c>
      <c r="EZ13" t="e">
        <f>CR_Cmd_Acces_Modif!D12+"'&lt;!4^"</f>
        <v>#VALUE!</v>
      </c>
      <c r="FA13" t="e">
        <f>CR_Cmd_Acces_Modif!A:A*"'&lt;!4_"</f>
        <v>#VALUE!</v>
      </c>
      <c r="FB13" t="e">
        <f>CR_Cmd_Acces_Modif!B:B*"'&lt;!4`"</f>
        <v>#VALUE!</v>
      </c>
      <c r="FC13" t="e">
        <f>CR_Cmd_Acces_Modif!C:C*"'&lt;!4a"</f>
        <v>#VALUE!</v>
      </c>
      <c r="FD13" t="e">
        <f>CR_Cmd_Acces_Modif!D:D*"'&lt;!4b"</f>
        <v>#VALUE!</v>
      </c>
      <c r="FE13" t="e">
        <f>CR_Cmd_Acces_Modif!E:E*"'&lt;!4c"</f>
        <v>#VALUE!</v>
      </c>
      <c r="FF13" t="e">
        <f>CR_Cmd_Acces_Modif!F:F*"'&lt;!4d"</f>
        <v>#VALUE!</v>
      </c>
      <c r="FG13" t="e">
        <f>CR_Cmd_Acces_Modif!G:G*"'&lt;!4e"</f>
        <v>#VALUE!</v>
      </c>
      <c r="FH13" t="e">
        <f>CR_Cmd_Acces_Modif!H:H*"'&lt;!4f"</f>
        <v>#VALUE!</v>
      </c>
      <c r="FI13" t="e">
        <f>CR_Cmd_Acces_Modif!I:I*"'&lt;!4g"</f>
        <v>#VALUE!</v>
      </c>
      <c r="FJ13" t="e">
        <f>CR_Cmd_Acces_Modif!J:J*"'&lt;!4h"</f>
        <v>#VALUE!</v>
      </c>
      <c r="FK13" t="e">
        <f>CR_Cmd_Acces_Modif!K:K*"'&lt;!4i"</f>
        <v>#VALUE!</v>
      </c>
      <c r="FL13" t="e">
        <f>CR_Cmd_Acces_Modif!L:L*"'&lt;!4j"</f>
        <v>#VALUE!</v>
      </c>
      <c r="FM13" t="e">
        <f>CR_Cmd_Acces_Modif!M:M*"'&lt;!4k"</f>
        <v>#VALUE!</v>
      </c>
      <c r="FN13" t="e">
        <f>CR_Cmd_Acces_Modif!N:N*"'&lt;!4l"</f>
        <v>#VALUE!</v>
      </c>
      <c r="FO13" t="e">
        <f>CR_Cmd_Acces_Modif!O:O*"'&lt;!4m"</f>
        <v>#VALUE!</v>
      </c>
      <c r="FP13" t="e">
        <f>CR_Cmd_Acces_Modif!P:P*"'&lt;!4n"</f>
        <v>#VALUE!</v>
      </c>
      <c r="FQ13" t="e">
        <f>CR_Cmd_Acces_Modif!Q:Q*"'&lt;!4o"</f>
        <v>#VALUE!</v>
      </c>
      <c r="FR13" t="e">
        <f>CR_Cmd_Acces_Modif!R:R*"'&lt;!4p"</f>
        <v>#VALUE!</v>
      </c>
      <c r="FS13" t="e">
        <f>CR_Cmd_Acces_Modif!S:S*"'&lt;!4q"</f>
        <v>#VALUE!</v>
      </c>
      <c r="FT13" t="e">
        <f>CR_Cmd_Acces_Modif!T:T*"'&lt;!4r"</f>
        <v>#VALUE!</v>
      </c>
      <c r="FU13" t="e">
        <f>CR_Cmd_Acces_Modif!U:U*"'&lt;!4s"</f>
        <v>#VALUE!</v>
      </c>
      <c r="FV13" t="e">
        <f>CR_Cmd_Acces_Modif!V:V*"'&lt;!4t"</f>
        <v>#VALUE!</v>
      </c>
      <c r="FW13" t="e">
        <f>CR_Cmd_Acces_Modif!W:W*"'&lt;!4u"</f>
        <v>#VALUE!</v>
      </c>
      <c r="FX13" t="e">
        <f>CR_Cmd_Acces_Modif!X:X*"'&lt;!4v"</f>
        <v>#VALUE!</v>
      </c>
      <c r="FY13" t="e">
        <f>CR_Cmd_Acces_Modif!Y:Y*"'&lt;!4w"</f>
        <v>#VALUE!</v>
      </c>
      <c r="FZ13" t="e">
        <f>CR_Cmd_Acces_Modif!Z:Z*"'&lt;!4x"</f>
        <v>#VALUE!</v>
      </c>
      <c r="GA13" t="e">
        <f>CR_Cmd_Acces_Modif!AA:AA*"'&lt;!4y"</f>
        <v>#VALUE!</v>
      </c>
      <c r="GB13" t="e">
        <f>CR_Cmd_Acces_Modif!AB:AB*"'&lt;!4z"</f>
        <v>#VALUE!</v>
      </c>
      <c r="GC13" t="e">
        <f>CR_Cmd_Acces_Modif!AC:AC*"'&lt;!4{"</f>
        <v>#VALUE!</v>
      </c>
      <c r="GD13" t="e">
        <f>CR_Cmd_Acces_Modif!AD:AD*"'&lt;!4|"</f>
        <v>#VALUE!</v>
      </c>
      <c r="GE13" t="e">
        <f>CR_Cmd_Acces_Modif!AE:AE*"'&lt;!4}"</f>
        <v>#VALUE!</v>
      </c>
      <c r="GF13" t="e">
        <f>CR_Cmd_Acces_Modif!AF:AF*"'&lt;!4~"</f>
        <v>#VALUE!</v>
      </c>
      <c r="GG13" t="e">
        <f>CR_Cmd_Acces_Modif!AG:AG*"'&lt;!5#"</f>
        <v>#VALUE!</v>
      </c>
      <c r="GH13" t="e">
        <f>CR_Cmd_Acces_Modif!AH:AH*"'&lt;!5$"</f>
        <v>#VALUE!</v>
      </c>
      <c r="GI13" t="e">
        <f>CR_Cmd_Acces_Modif!AI:AI*"'&lt;!5%"</f>
        <v>#VALUE!</v>
      </c>
      <c r="GJ13" t="e">
        <f>CR_Cmd_Acces_Modif!AJ:AJ*"'&lt;!5&amp;"</f>
        <v>#VALUE!</v>
      </c>
      <c r="GK13" t="e">
        <f>CR_Cmd_Acces_Modif!AK:AK*"'&lt;!5'"</f>
        <v>#VALUE!</v>
      </c>
      <c r="GL13" t="e">
        <f>CR_Cmd_Acces_Modif!AL:AL*"'&lt;!5("</f>
        <v>#VALUE!</v>
      </c>
      <c r="GM13" t="e">
        <f>CR_Cmd_Acces_Modif!AM:AM*"'&lt;!5)"</f>
        <v>#VALUE!</v>
      </c>
      <c r="GN13" t="e">
        <f>CR_Cmd_Acces_Modif!AN:AN*"'&lt;!5."</f>
        <v>#VALUE!</v>
      </c>
      <c r="GO13" t="e">
        <f>CR_Cmd_Acces_Modif!AO:AO*"'&lt;!5/"</f>
        <v>#VALUE!</v>
      </c>
      <c r="GP13" t="e">
        <f>CR_Cmd_Acces_Modif!AP:AP*"'&lt;!50"</f>
        <v>#VALUE!</v>
      </c>
      <c r="GQ13" t="e">
        <f>CR_Cmd_Acces_Modif!AQ:AQ*"'&lt;!51"</f>
        <v>#VALUE!</v>
      </c>
      <c r="GR13" t="e">
        <f>CR_Cmd_Acces_Modif!AR:AR*"'&lt;!52"</f>
        <v>#VALUE!</v>
      </c>
      <c r="GS13" t="e">
        <f>CR_Cmd_Acces_Modif!AS:AS*"'&lt;!53"</f>
        <v>#VALUE!</v>
      </c>
      <c r="GT13" t="e">
        <f>CR_Cmd_Acces_Modif!AT:AT*"'&lt;!54"</f>
        <v>#VALUE!</v>
      </c>
      <c r="GU13" t="e">
        <f>CR_Cmd_Acces_Modif!AU:AU*"'&lt;!55"</f>
        <v>#VALUE!</v>
      </c>
      <c r="GV13" t="e">
        <f>CR_Cmd_Acces_Modif!AV:AV*"'&lt;!56"</f>
        <v>#VALUE!</v>
      </c>
      <c r="GW13" t="e">
        <f>CR_Cmd_Acces_Modif!AW:AW*"'&lt;!57"</f>
        <v>#VALUE!</v>
      </c>
      <c r="GX13" t="e">
        <f>CR_Cmd_Acces_Modif!AX:AX*"'&lt;!58"</f>
        <v>#VALUE!</v>
      </c>
      <c r="GY13" t="e">
        <f>CR_Cmd_Acces_Modif!AY:AY*"'&lt;!59"</f>
        <v>#VALUE!</v>
      </c>
      <c r="GZ13" t="e">
        <f>CR_Cmd_Acces_Modif!AZ:AZ*"'&lt;!5:"</f>
        <v>#VALUE!</v>
      </c>
      <c r="HA13" t="e">
        <f>CR_Cmd_Acces_Modif!BA:BA*"'&lt;!5;"</f>
        <v>#VALUE!</v>
      </c>
      <c r="HB13" t="e">
        <f>CR_Cmd_Acces_Modif!BB:BB*"'&lt;!5&lt;"</f>
        <v>#VALUE!</v>
      </c>
      <c r="HC13" t="e">
        <f>CR_Cmd_Acces_Modif!BC:BC*"'&lt;!5="</f>
        <v>#VALUE!</v>
      </c>
      <c r="HD13" t="e">
        <f>CR_Cmd_Acces_Modif!BD:BD*"'&lt;!5&gt;"</f>
        <v>#VALUE!</v>
      </c>
      <c r="HE13" t="e">
        <f>CR_Cmd_Acces_Modif!BE:BE*"'&lt;!5?"</f>
        <v>#VALUE!</v>
      </c>
      <c r="HF13" t="e">
        <f>CR_Cmd_Acces_Modif!BF:BF*"'&lt;!5@"</f>
        <v>#VALUE!</v>
      </c>
      <c r="HG13" t="e">
        <f>CR_Cmd_Acces_Modif!1:1-"'&lt;!5A"</f>
        <v>#VALUE!</v>
      </c>
      <c r="HH13" t="e">
        <f>CR_Cmd_Acces_Modif!2:2-"'&lt;!5B"</f>
        <v>#VALUE!</v>
      </c>
      <c r="HI13" t="e">
        <f>CR_Cmd_Acces_Modif!3:3-"'&lt;!5C"</f>
        <v>#VALUE!</v>
      </c>
      <c r="HJ13" t="e">
        <f>CR_Cmd_Acces_Modif!4:4-"'&lt;!5D"</f>
        <v>#VALUE!</v>
      </c>
      <c r="HK13" t="e">
        <f>CR_Cmd_Acces_Modif!5:5-"'&lt;!5E"</f>
        <v>#VALUE!</v>
      </c>
      <c r="HL13" t="e">
        <f>CR_Cmd_Acces_Modif!6:6-"'&lt;!5F"</f>
        <v>#VALUE!</v>
      </c>
      <c r="HM13" t="e">
        <f>CR_Cmd_Acces_Modif!7:7-"'&lt;!5G"</f>
        <v>#VALUE!</v>
      </c>
      <c r="HN13" t="e">
        <f>CR_Cmd_Acces_Modif!8:8-"'&lt;!5H"</f>
        <v>#VALUE!</v>
      </c>
      <c r="HO13" t="e">
        <f>CR_Cmd_Acces_Modif!9:9-"'&lt;!5I"</f>
        <v>#VALUE!</v>
      </c>
      <c r="HP13" t="e">
        <f>CR_Cmd_Acces_Modif!10:10-"'&lt;!5J"</f>
        <v>#VALUE!</v>
      </c>
      <c r="HQ13" t="e">
        <f>CR_Cmd_Acces_Modif!11:11-"'&lt;!5K"</f>
        <v>#VALUE!</v>
      </c>
      <c r="HR13" t="e">
        <f>CR_Cmd_Acces_Modif!12:12-"'&lt;!5L"</f>
        <v>#VALUE!</v>
      </c>
      <c r="HS13" t="e">
        <f>CR_Cmd_Acces_Modif!13:13-"'&lt;!5M"</f>
        <v>#VALUE!</v>
      </c>
      <c r="HT13" t="e">
        <f>CR_Cmd_Acces_Modif!14:14-"'&lt;!5N"</f>
        <v>#VALUE!</v>
      </c>
      <c r="HU13" t="e">
        <f>CR_Cmd_Acces_Modif!15:15-"'&lt;!5O"</f>
        <v>#VALUE!</v>
      </c>
      <c r="HV13" t="e">
        <f>CR_Cmd_Acces_Modif!16:16-"'&lt;!5P"</f>
        <v>#VALUE!</v>
      </c>
      <c r="HW13" t="e">
        <f>CR_Cmd_Acces_Modif!17:17-"'&lt;!5Q"</f>
        <v>#VALUE!</v>
      </c>
      <c r="HX13" t="e">
        <f>CR_Cmd_Acces_Modif!18:18-"'&lt;!5R"</f>
        <v>#VALUE!</v>
      </c>
      <c r="HY13" t="e">
        <f>CR_Cmd_Acces_Modif!19:19-"'&lt;!5S"</f>
        <v>#VALUE!</v>
      </c>
      <c r="HZ13" t="e">
        <f>CR_Cmd_Acces_Modif!20:20-"'&lt;!5T"</f>
        <v>#VALUE!</v>
      </c>
      <c r="IA13" t="e">
        <f>CR_Cmd_Acces_Modif!21:21-"'&lt;!5U"</f>
        <v>#VALUE!</v>
      </c>
      <c r="IB13" t="e">
        <f>CR_Cmd_Acces_Modif!22:22-"'&lt;!5V"</f>
        <v>#VALUE!</v>
      </c>
      <c r="IC13" t="e">
        <f>CR_Cmd_Acces_Modif!23:23-"'&lt;!5W"</f>
        <v>#VALUE!</v>
      </c>
      <c r="ID13" t="e">
        <f>CR_Cmd_Acces_Modif!24:24-"'&lt;!5X"</f>
        <v>#VALUE!</v>
      </c>
      <c r="IE13" t="e">
        <f>CR_Cmd_Acces_Modif!25:25-"'&lt;!5Y"</f>
        <v>#VALUE!</v>
      </c>
      <c r="IF13" t="e">
        <f>CR_Cmd_Acces_Modif!26:26-"'&lt;!5Z"</f>
        <v>#VALUE!</v>
      </c>
      <c r="IG13" t="e">
        <f>CR_Cmd_Acces_Modif!27:27-"'&lt;!5["</f>
        <v>#VALUE!</v>
      </c>
      <c r="IH13" t="e">
        <f>CR_Cmd_Acces_Modif!28:28-"'&lt;!5\"</f>
        <v>#VALUE!</v>
      </c>
      <c r="II13" t="e">
        <f>CR_Cmd_Acces_Modif!29:29-"'&lt;!5]"</f>
        <v>#VALUE!</v>
      </c>
      <c r="IJ13" t="e">
        <f>CR_Cmd_Acces_Modif!30:30-"'&lt;!5^"</f>
        <v>#VALUE!</v>
      </c>
      <c r="IK13" t="e">
        <f>CR_Cmd_Acces_Modif!31:31-"'&lt;!5_"</f>
        <v>#VALUE!</v>
      </c>
      <c r="IL13" t="e">
        <f>CR_Cmd_Acces_Modif!32:32-"'&lt;!5`"</f>
        <v>#VALUE!</v>
      </c>
      <c r="IM13" t="e">
        <f>CR_Cmd_Acces_Modif!33:33-"'&lt;!5a"</f>
        <v>#VALUE!</v>
      </c>
      <c r="IN13" t="e">
        <f>CR_Cmd_Acces_Modif!34:34-"'&lt;!5b"</f>
        <v>#VALUE!</v>
      </c>
      <c r="IO13" t="e">
        <f>CR_Cmd_Acces_Modif!35:35-"'&lt;!5c"</f>
        <v>#VALUE!</v>
      </c>
      <c r="IP13" t="e">
        <f>CR_Cmd_Acces_Modif!36:36-"'&lt;!5d"</f>
        <v>#VALUE!</v>
      </c>
      <c r="IQ13" t="e">
        <f>CR_Cmd_Acces_Modif!37:37-"'&lt;!5e"</f>
        <v>#VALUE!</v>
      </c>
      <c r="IR13" t="e">
        <f>CR_Cmd_Acces_Modif!38:38-"'&lt;!5f"</f>
        <v>#VALUE!</v>
      </c>
      <c r="IS13" t="e">
        <f>CR_Cmd_Acces_Modif!39:39-"'&lt;!5g"</f>
        <v>#VALUE!</v>
      </c>
      <c r="IT13" t="e">
        <f>CR_Cmd_Acces_Modif!40:40-"'&lt;!5h"</f>
        <v>#VALUE!</v>
      </c>
      <c r="IU13" t="e">
        <f>CR_Cmd_Acces_Modif!41:41-"'&lt;!5i"</f>
        <v>#VALUE!</v>
      </c>
      <c r="IV13" t="e">
        <f>CR_Cmd_Acces_Modif!42:42-"'&lt;!5j"</f>
        <v>#VALUE!</v>
      </c>
    </row>
    <row r="14" spans="1:256">
      <c r="F14" t="e">
        <f>CR_Cmd_Acces_Modif!43:43-"'&lt;!5k"</f>
        <v>#VALUE!</v>
      </c>
      <c r="G14" t="e">
        <f>CR_Cmd_Acces_Modif!44:44-"'&lt;!5l"</f>
        <v>#VALUE!</v>
      </c>
      <c r="H14" t="e">
        <f>CR_Cmd_Acces_Modif!45:45-"'&lt;!5m"</f>
        <v>#VALUE!</v>
      </c>
      <c r="I14" t="e">
        <f>CR_Cmd_Acces_Modif!46:46-"'&lt;!5n"</f>
        <v>#VALUE!</v>
      </c>
      <c r="J14" t="e">
        <f>CR_Cmd_Acces_Modif!47:47-"'&lt;!5o"</f>
        <v>#VALUE!</v>
      </c>
      <c r="K14" t="e">
        <f>CR_Cmd_Acces_Modif!48:48-"'&lt;!5p"</f>
        <v>#VALUE!</v>
      </c>
      <c r="L14" t="e">
        <f>CR_Cmd_Acces_Modif!49:49-"'&lt;!5q"</f>
        <v>#VALUE!</v>
      </c>
      <c r="M14" t="e">
        <f>CR_Cmd_Acces_Modif!50:50-"'&lt;!5r"</f>
        <v>#VALUE!</v>
      </c>
      <c r="N14" t="e">
        <f>CR_Cmd_Acces_Modif!51:51-"'&lt;!5s"</f>
        <v>#VALUE!</v>
      </c>
      <c r="O14" t="e">
        <f>CR_Cmd_Acces_Modif!52:52-"'&lt;!5t"</f>
        <v>#VALUE!</v>
      </c>
      <c r="P14" t="e">
        <f>CR_Cmd_Acces_Modif!53:53-"'&lt;!5u"</f>
        <v>#VALUE!</v>
      </c>
      <c r="Q14" t="e">
        <f>CR_Cmd_Acces_Modif!54:54-"'&lt;!5v"</f>
        <v>#VALUE!</v>
      </c>
      <c r="R14" t="e">
        <f>CR_Cmd_Acces_Modif!55:55-"'&lt;!5w"</f>
        <v>#VALUE!</v>
      </c>
      <c r="S14" t="e">
        <f>CR_Cmd_Acces_Modif!56:56-"'&lt;!5x"</f>
        <v>#VALUE!</v>
      </c>
      <c r="T14" t="e">
        <f>CR_Cmd_Acces_Modif!57:57-"'&lt;!5y"</f>
        <v>#VALUE!</v>
      </c>
      <c r="U14" t="e">
        <f>CR_Cmd_Acces_Modif!58:58-"'&lt;!5z"</f>
        <v>#VALUE!</v>
      </c>
      <c r="V14" t="e">
        <f>CR_Cmd_Acces_Modif!59:59-"'&lt;!5{"</f>
        <v>#VALUE!</v>
      </c>
      <c r="W14" t="e">
        <f>CR_Cmd_Acces_Modif!60:60-"'&lt;!5|"</f>
        <v>#VALUE!</v>
      </c>
      <c r="X14" t="e">
        <f>CR_Cmd_Acces_Modif!61:61-"'&lt;!5}"</f>
        <v>#VALUE!</v>
      </c>
      <c r="Y14" t="e">
        <f>CR_Cmd_Acces_Modif!62:62-"'&lt;!5~"</f>
        <v>#VALUE!</v>
      </c>
      <c r="Z14" t="e">
        <f>CR_Cmd_Acces_Modif!63:63-"'&lt;!6#"</f>
        <v>#VALUE!</v>
      </c>
      <c r="AA14" t="e">
        <f>CR_Cmd_Acces_Modif!64:64-"'&lt;!6$"</f>
        <v>#VALUE!</v>
      </c>
      <c r="AB14" t="e">
        <f>CR_Cmd_Acces_Modif!65:65-"'&lt;!6%"</f>
        <v>#VALUE!</v>
      </c>
      <c r="AC14" t="e">
        <f>CR_Cmd_Acces_Modif!66:66-"'&lt;!6&amp;"</f>
        <v>#VALUE!</v>
      </c>
      <c r="AD14" t="e">
        <f>CR_Cmd_Acces_Modif!67:67-"'&lt;!6'"</f>
        <v>#VALUE!</v>
      </c>
      <c r="AE14" t="e">
        <f>CR_Cmd_Acces_Modif!68:68-"'&lt;!6("</f>
        <v>#VALUE!</v>
      </c>
      <c r="AF14" t="e">
        <f>CR_Cmd_Acces_Modif!69:69-"'&lt;!6)"</f>
        <v>#VALUE!</v>
      </c>
      <c r="AG14" t="e">
        <f>CR_Cmd_Acces_Modif!70:70-"'&lt;!6."</f>
        <v>#VALUE!</v>
      </c>
      <c r="AH14" t="e">
        <f>CR_Cmd_Acces_Modif!71:71-"'&lt;!6/"</f>
        <v>#VALUE!</v>
      </c>
      <c r="AI14" t="e">
        <f>CR_Cmd_Acces_Modif!72:72-"'&lt;!60"</f>
        <v>#VALUE!</v>
      </c>
      <c r="AJ14" t="e">
        <f>CR_Cmd_Acces_Modif!73:73-"'&lt;!61"</f>
        <v>#VALUE!</v>
      </c>
      <c r="AK14" t="e">
        <f>CR_Cmd_Acces_Modif!74:74-"'&lt;!62"</f>
        <v>#VALUE!</v>
      </c>
      <c r="AL14" t="e">
        <f>CR_Cmd_Acces_Modif!75:75-"'&lt;!63"</f>
        <v>#VALUE!</v>
      </c>
      <c r="AM14" t="e">
        <f>CR_Cmd_Acces_Modif!76:76-"'&lt;!64"</f>
        <v>#VALUE!</v>
      </c>
      <c r="AN14" t="e">
        <f>CR_Cmd_Acces_Modif!77:77-"'&lt;!65"</f>
        <v>#VALUE!</v>
      </c>
      <c r="AO14" t="e">
        <f>CR_Cmd_Acces_Modif!78:78-"'&lt;!66"</f>
        <v>#VALUE!</v>
      </c>
      <c r="AP14" t="e">
        <f>CR_Cmd_Acces_Modif!79:79-"'&lt;!67"</f>
        <v>#VALUE!</v>
      </c>
      <c r="AQ14" t="e">
        <f>CR_Cmd_Acces_Modif!80:80-"'&lt;!68"</f>
        <v>#VALUE!</v>
      </c>
      <c r="AR14" t="e">
        <f>CR_Cmd_Acces_Modif!81:81-"'&lt;!69"</f>
        <v>#VALUE!</v>
      </c>
      <c r="AS14" t="e">
        <f>CR_Cmd_Acces_Modif!82:82-"'&lt;!6:"</f>
        <v>#VALUE!</v>
      </c>
      <c r="AT14" t="e">
        <f>CR_Cmd_Acces_Modif!83:83-"'&lt;!6;"</f>
        <v>#VALUE!</v>
      </c>
      <c r="AU14" t="e">
        <f>CR_Cmd_Acces_Modif!84:84-"'&lt;!6&lt;"</f>
        <v>#VALUE!</v>
      </c>
      <c r="AV14" t="e">
        <f>CR_Cmd_Acces_Modif!85:85-"'&lt;!6="</f>
        <v>#VALUE!</v>
      </c>
      <c r="AW14" t="e">
        <f>CR_Cmd_Acces_Modif!86:86-"'&lt;!6&gt;"</f>
        <v>#VALUE!</v>
      </c>
      <c r="AX14" t="e">
        <f>CR_Cmd_Acces_Modif!87:87-"'&lt;!6?"</f>
        <v>#VALUE!</v>
      </c>
      <c r="AY14" t="e">
        <f>CR_Cmd_Acces_Modif!88:88-"'&lt;!6@"</f>
        <v>#VALUE!</v>
      </c>
      <c r="AZ14" t="e">
        <f>CR_Cmd_Acces_Modif!89:89-"'&lt;!6A"</f>
        <v>#VALUE!</v>
      </c>
      <c r="BA14" t="e">
        <f>CR_Cmd_Acces_Modif!90:90-"'&lt;!6B"</f>
        <v>#VALUE!</v>
      </c>
      <c r="BB14" t="e">
        <f>CR_Cmd_Acces_Modif!91:91-"'&lt;!6C"</f>
        <v>#VALUE!</v>
      </c>
      <c r="BC14" t="e">
        <f>CR_Cmd_Acces_Modif!92:92-"'&lt;!6D"</f>
        <v>#VALUE!</v>
      </c>
      <c r="BD14" t="e">
        <f>CR_Cmd_Acces_Modif!93:93-"'&lt;!6E"</f>
        <v>#VALUE!</v>
      </c>
      <c r="BE14" t="e">
        <f>CR_Cmd_Acces_Modif!94:94-"'&lt;!6F"</f>
        <v>#VALUE!</v>
      </c>
      <c r="BF14" t="e">
        <f>CR_Cmd_Acces_Modif!95:95-"'&lt;!6G"</f>
        <v>#VALUE!</v>
      </c>
      <c r="BG14" t="e">
        <f>CR_Cmd_Acces_Modif!96:96-"'&lt;!6H"</f>
        <v>#VALUE!</v>
      </c>
      <c r="BH14" t="e">
        <f>CR_Cmd_Acces_Modif!97:97-"'&lt;!6I"</f>
        <v>#VALUE!</v>
      </c>
      <c r="BI14" t="e">
        <f>CR_Cmd_Acces_Modif!98:98-"'&lt;!6J"</f>
        <v>#VALUE!</v>
      </c>
      <c r="BJ14" t="e">
        <f>CR_Cmd_Acces_Modif!99:99-"'&lt;!6K"</f>
        <v>#VALUE!</v>
      </c>
      <c r="BK14" t="e">
        <f>CR_Cmd_Acces_Modif!100:100-"'&lt;!6L"</f>
        <v>#VALUE!</v>
      </c>
      <c r="BL14" t="e">
        <f>CR_Cmd_Acces_Modif!101:101-"'&lt;!6M"</f>
        <v>#VALUE!</v>
      </c>
      <c r="BM14" t="e">
        <f>CR_Cmd_Acces_Modif!102:102-"'&lt;!6N"</f>
        <v>#VALUE!</v>
      </c>
      <c r="BN14" t="e">
        <f>CR_Cmd_Acces_Modif!103:103-"'&lt;!6O"</f>
        <v>#VALUE!</v>
      </c>
      <c r="BO14" t="e">
        <f>CR_Cmd_Acces_Modif!104:104-"'&lt;!6P"</f>
        <v>#VALUE!</v>
      </c>
      <c r="BP14" t="e">
        <f>CR_Cmd_Acces_Modif!105:105-"'&lt;!6Q"</f>
        <v>#VALUE!</v>
      </c>
      <c r="BQ14" t="e">
        <f>CR_Cmd_Acces_Modif!106:106-"'&lt;!6R"</f>
        <v>#VALUE!</v>
      </c>
      <c r="BR14" t="e">
        <f>CR_Cmd_Acces_Modif!107:107-"'&lt;!6S"</f>
        <v>#VALUE!</v>
      </c>
      <c r="BS14" t="e">
        <f>CR_Cmd_Acces_Modif!108:108-"'&lt;!6T"</f>
        <v>#VALUE!</v>
      </c>
      <c r="BT14" t="e">
        <f>CR_Cmd_Acces_Modif!109:109-"'&lt;!6U"</f>
        <v>#VALUE!</v>
      </c>
      <c r="BU14" t="e">
        <f>CR_Cmd_Acces_Modif!110:110-"'&lt;!6V"</f>
        <v>#VALUE!</v>
      </c>
      <c r="BV14" t="e">
        <f>CR_Cmd_Acces_Modif!111:111-"'&lt;!6W"</f>
        <v>#VALUE!</v>
      </c>
      <c r="BW14" t="e">
        <f>CR_Cmd_Acces_Modif!112:112-"'&lt;!6X"</f>
        <v>#VALUE!</v>
      </c>
      <c r="BX14" t="e">
        <f>CR_Cmd_Acces_Modif!113:113-"'&lt;!6Y"</f>
        <v>#VALUE!</v>
      </c>
      <c r="BY14" t="e">
        <f>CR_Cmd_Acces_Modif!114:114-"'&lt;!6Z"</f>
        <v>#VALUE!</v>
      </c>
      <c r="BZ14" t="e">
        <f>CR_Cmd_Acces_Modif!115:115-"'&lt;!6["</f>
        <v>#VALUE!</v>
      </c>
      <c r="CA14" t="e">
        <f>CR_Cmd_Acces_Modif!116:116-"'&lt;!6\"</f>
        <v>#VALUE!</v>
      </c>
      <c r="CB14" t="e">
        <f>CR_Cmd_Acces_Modif!117:117-"'&lt;!6]"</f>
        <v>#VALUE!</v>
      </c>
      <c r="CC14" t="e">
        <f>CR_Cmd_Acces_Modif!118:118-"'&lt;!6^"</f>
        <v>#VALUE!</v>
      </c>
      <c r="CD14" t="e">
        <f>CR_Cmd_Acces_Modif!119:119-"'&lt;!6_"</f>
        <v>#VALUE!</v>
      </c>
      <c r="CE14" t="e">
        <f>CR_Cmd_Acces_Modif!120:120-"'&lt;!6`"</f>
        <v>#VALUE!</v>
      </c>
      <c r="CF14" t="e">
        <f>CR_Cmd_Acces_Modif!121:121-"'&lt;!6a"</f>
        <v>#VALUE!</v>
      </c>
      <c r="CG14" t="e">
        <f>CR_Cmd_Acces_Modif!122:122-"'&lt;!6b"</f>
        <v>#VALUE!</v>
      </c>
      <c r="CH14" t="e">
        <f>CR_Cmd_Acces_Modif!123:123-"'&lt;!6c"</f>
        <v>#VALUE!</v>
      </c>
      <c r="CI14" t="e">
        <f>CR_Cmd_Acces_Modif!124:124-"'&lt;!6d"</f>
        <v>#VALUE!</v>
      </c>
      <c r="CJ14" t="e">
        <f>CR_Cmd_Acces_Modif!125:125-"'&lt;!6e"</f>
        <v>#VALUE!</v>
      </c>
      <c r="CK14" t="e">
        <f>CR_Cmd_Acces_Modif!126:126-"'&lt;!6f"</f>
        <v>#VALUE!</v>
      </c>
      <c r="CL14" t="e">
        <f>CR_Cmd_Acces_Modif!127:127-"'&lt;!6g"</f>
        <v>#VALUE!</v>
      </c>
      <c r="CM14" t="e">
        <f>CR_Cmd_Acces_Modif!128:128-"'&lt;!6h"</f>
        <v>#VALUE!</v>
      </c>
      <c r="CN14" t="e">
        <f>CR_Cmd_Acces_Modif!129:129-"'&lt;!6i"</f>
        <v>#VALUE!</v>
      </c>
      <c r="CO14" t="e">
        <f>CR_Cmd_Acces_Modif!130:130-"'&lt;!6j"</f>
        <v>#VALUE!</v>
      </c>
      <c r="CP14" t="e">
        <f>CR_Cmd_Acces_Modif!131:131-"'&lt;!6k"</f>
        <v>#VALUE!</v>
      </c>
      <c r="CQ14" t="e">
        <f>CR_Cmd_Acces_Modif!132:132-"'&lt;!6l"</f>
        <v>#VALUE!</v>
      </c>
      <c r="CR14" t="e">
        <f>CR_Cmd_Acces_Modif!133:133-"'&lt;!6m"</f>
        <v>#VALUE!</v>
      </c>
      <c r="CS14" t="e">
        <f>CR_Cmd_Acces_Modif!134:134-"'&lt;!6n"</f>
        <v>#VALUE!</v>
      </c>
      <c r="CT14" t="e">
        <f>CR_Cmd_Acces_Modif!135:135-"'&lt;!6o"</f>
        <v>#VALUE!</v>
      </c>
      <c r="CU14" t="e">
        <f>CR_Cmd_Acces_Modif!136:136-"'&lt;!6p"</f>
        <v>#VALUE!</v>
      </c>
      <c r="CV14" t="e">
        <f>CR_Cmd_Acces_Modif!137:137-"'&lt;!6q"</f>
        <v>#VALUE!</v>
      </c>
      <c r="CW14" t="e">
        <f>CR_Cmd_Acces_Modif!138:138-"'&lt;!6r"</f>
        <v>#VALUE!</v>
      </c>
      <c r="CX14" t="e">
        <f>CR_Cmd_Acces_Modif!139:139-"'&lt;!6s"</f>
        <v>#VALUE!</v>
      </c>
      <c r="CY14" t="e">
        <f>CR_Cmd_Acces_Modif!140:140-"'&lt;!6t"</f>
        <v>#VALUE!</v>
      </c>
      <c r="CZ14" t="e">
        <f>CR_Cmd_Acces_Modif!141:141-"'&lt;!6u"</f>
        <v>#VALUE!</v>
      </c>
      <c r="DA14" t="e">
        <f>CR_Cmd_Acces_Modif!142:142-"'&lt;!6v"</f>
        <v>#VALUE!</v>
      </c>
      <c r="DB14" t="e">
        <f>CR_Cmd_Acces_Modif!143:143-"'&lt;!6w"</f>
        <v>#VALUE!</v>
      </c>
      <c r="DC14" t="e">
        <f>CR_Cmd_Acces_Modif!144:144-"'&lt;!6x"</f>
        <v>#VALUE!</v>
      </c>
      <c r="DD14" t="e">
        <f>CR_Cmd_Acces_Modif!145:145-"'&lt;!6y"</f>
        <v>#VALUE!</v>
      </c>
      <c r="DE14" t="e">
        <f>CR_Cmd_Acces_Modif!146:146-"'&lt;!6z"</f>
        <v>#VALUE!</v>
      </c>
      <c r="DF14" t="e">
        <f>CR_Cmd_Acces_Modif!147:147-"'&lt;!6{"</f>
        <v>#VALUE!</v>
      </c>
      <c r="DG14" t="e">
        <f>CR_Cmd_Acces_Modif!148:148-"'&lt;!6|"</f>
        <v>#VALUE!</v>
      </c>
      <c r="DH14" t="e">
        <f>CR_Cmd_Acces_Modif!149:149-"'&lt;!6}"</f>
        <v>#VALUE!</v>
      </c>
      <c r="DI14" t="e">
        <f>CR_Cmd_Acces_Modif!150:150-"'&lt;!6~"</f>
        <v>#VALUE!</v>
      </c>
      <c r="DJ14" t="e">
        <f>CR_Cmd_Acces_Modif!151:151-"'&lt;!7#"</f>
        <v>#VALUE!</v>
      </c>
      <c r="DK14" t="e">
        <f>CR_Cmd_Acces_Modif!152:152-"'&lt;!7$"</f>
        <v>#VALUE!</v>
      </c>
      <c r="DL14" t="e">
        <f>CR_Cmd_Acces_Modif!153:153-"'&lt;!7%"</f>
        <v>#VALUE!</v>
      </c>
      <c r="DM14" t="e">
        <f>CR_Cmd_Acces_Modif!154:154-"'&lt;!7&amp;"</f>
        <v>#VALUE!</v>
      </c>
      <c r="DN14" t="e">
        <f>CR_Cmd_Acces_Modif!155:155-"'&lt;!7'"</f>
        <v>#VALUE!</v>
      </c>
      <c r="DO14" t="e">
        <f>CR_Cmd_Acces_Modif!156:156-"'&lt;!7("</f>
        <v>#VALUE!</v>
      </c>
      <c r="DP14" t="e">
        <f>CR_Cmd_Acces_Modif!157:157-"'&lt;!7)"</f>
        <v>#VALUE!</v>
      </c>
      <c r="DQ14" t="e">
        <f>CR_Cmd_Acces_Modif!158:158-"'&lt;!7."</f>
        <v>#VALUE!</v>
      </c>
      <c r="DR14" t="e">
        <f>CR_Cmd_Acces_Modif!159:159-"'&lt;!7/"</f>
        <v>#VALUE!</v>
      </c>
      <c r="DS14" t="e">
        <f>CR_Cmd_Acces_Modif!160:160-"'&lt;!70"</f>
        <v>#VALUE!</v>
      </c>
      <c r="DT14" t="e">
        <f>CR_Cmd_Acces_Modif!161:161-"'&lt;!71"</f>
        <v>#VALUE!</v>
      </c>
      <c r="DU14" t="e">
        <f>CR_Cmd_Acces_Modif!162:162-"'&lt;!72"</f>
        <v>#VALUE!</v>
      </c>
      <c r="DV14" t="e">
        <f>CR_Cmd_Acces_Modif!163:163-"'&lt;!73"</f>
        <v>#VALUE!</v>
      </c>
      <c r="DW14" t="e">
        <f>CR_Cmd_Acces_Modif!164:164-"'&lt;!74"</f>
        <v>#VALUE!</v>
      </c>
      <c r="DX14" t="e">
        <f>CR_Cmd_Acces_Modif!165:165-"'&lt;!75"</f>
        <v>#VALUE!</v>
      </c>
      <c r="DY14" t="e">
        <f>CR_Cmd_Acces_Modif!166:166-"'&lt;!76"</f>
        <v>#VALUE!</v>
      </c>
      <c r="DZ14" t="e">
        <f>CR_Cmd_Acces_Modif!167:167-"'&lt;!77"</f>
        <v>#VALUE!</v>
      </c>
      <c r="EA14" t="e">
        <f>CR_Cmd_Acces_Modif!168:168-"'&lt;!78"</f>
        <v>#VALUE!</v>
      </c>
      <c r="EB14" t="e">
        <f>CR_Cmd_Acces_Modif!169:169-"'&lt;!79"</f>
        <v>#VALUE!</v>
      </c>
      <c r="EC14" t="e">
        <f>CR_Cmd_Acces_Modif!170:170-"'&lt;!7:"</f>
        <v>#VALUE!</v>
      </c>
      <c r="ED14" t="e">
        <f>CR_Cmd_Acces_Modif!171:171-"'&lt;!7;"</f>
        <v>#VALUE!</v>
      </c>
      <c r="EE14" t="e">
        <f>CR_Cmd_Acces_Modif!172:172-"'&lt;!7&lt;"</f>
        <v>#VALUE!</v>
      </c>
      <c r="EF14" t="e">
        <f>CR_Cmd_Acces_Modif!173:173-"'&lt;!7="</f>
        <v>#VALUE!</v>
      </c>
      <c r="EG14" t="e">
        <f>CR_Cmd_Acces_Modif!174:174-"'&lt;!7&gt;"</f>
        <v>#VALUE!</v>
      </c>
      <c r="EH14" t="e">
        <f>CR_Cmd_Acces_Modif!175:175-"'&lt;!7?"</f>
        <v>#VALUE!</v>
      </c>
      <c r="EI14" t="e">
        <f>CR_Cmd_Acces_Modif!176:176-"'&lt;!7@"</f>
        <v>#VALUE!</v>
      </c>
      <c r="EJ14" t="e">
        <f>CR_Cmd_Acces_Modif!177:177-"'&lt;!7A"</f>
        <v>#VALUE!</v>
      </c>
      <c r="EK14" t="e">
        <f>CR_Cmd_Acces_Modif!178:178-"'&lt;!7B"</f>
        <v>#VALUE!</v>
      </c>
      <c r="EL14" t="e">
        <f>CR_Cmd_Acces_Modif!179:179-"'&lt;!7C"</f>
        <v>#VALUE!</v>
      </c>
      <c r="EM14" t="e">
        <f>CR_Cmd_Acces_Modif!180:180-"'&lt;!7D"</f>
        <v>#VALUE!</v>
      </c>
      <c r="EN14" t="e">
        <f>CR_Cmd_Acces_Modif!181:181-"'&lt;!7E"</f>
        <v>#VALUE!</v>
      </c>
      <c r="EO14" t="e">
        <f>CR_Cmd_Acces_Modif!182:182-"'&lt;!7F"</f>
        <v>#VALUE!</v>
      </c>
      <c r="EP14" t="e">
        <f>CR_Cmd_Acces_Modif!183:183-"'&lt;!7G"</f>
        <v>#VALUE!</v>
      </c>
      <c r="EQ14" t="e">
        <f>CR_Cmd_Acces_Modif!184:184-"'&lt;!7H"</f>
        <v>#VALUE!</v>
      </c>
      <c r="ER14" t="e">
        <f>CR_Cmd_Acces_Modif!185:185-"'&lt;!7I"</f>
        <v>#VALUE!</v>
      </c>
      <c r="ES14" t="e">
        <f>CR_Cmd_Acces_Modif!186:186-"'&lt;!7J"</f>
        <v>#VALUE!</v>
      </c>
      <c r="ET14" t="e">
        <f>CR_Cmd_Acces_Modif!187:187-"'&lt;!7K"</f>
        <v>#VALUE!</v>
      </c>
      <c r="EU14" t="e">
        <f>CR_Cmd_Acces_Modif!188:188-"'&lt;!7L"</f>
        <v>#VALUE!</v>
      </c>
      <c r="EV14" t="e">
        <f>CR_Cmd_Acces_Modif!189:189-"'&lt;!7M"</f>
        <v>#VALUE!</v>
      </c>
      <c r="EW14" t="e">
        <f>CR_Cmd_Acces_Modif!190:190-"'&lt;!7N"</f>
        <v>#VALUE!</v>
      </c>
      <c r="EX14" t="e">
        <f>CR_Cmd_Acces_Modif!191:191-"'&lt;!7O"</f>
        <v>#VALUE!</v>
      </c>
      <c r="EY14" t="e">
        <f>CR_Cmd_Acces_Modif!192:192-"'&lt;!7P"</f>
        <v>#VALUE!</v>
      </c>
      <c r="EZ14" t="e">
        <f>CR_Cmd_Acces_Modif!193:193-"'&lt;!7Q"</f>
        <v>#VALUE!</v>
      </c>
      <c r="FA14" t="e">
        <f>CR_Cmd_Acces_Modif!194:194-"'&lt;!7R"</f>
        <v>#VALUE!</v>
      </c>
      <c r="FB14" t="e">
        <f>CR_Cmd_Acces_Modif!195:195-"'&lt;!7S"</f>
        <v>#VALUE!</v>
      </c>
      <c r="FC14" t="e">
        <f>CR_Cmd_Acces_Modif!196:196-"'&lt;!7T"</f>
        <v>#VALUE!</v>
      </c>
      <c r="FD14" t="e">
        <f>CR_Cmd_Acces_Modif!197:197-"'&lt;!7U"</f>
        <v>#VALUE!</v>
      </c>
      <c r="FE14" t="e">
        <f>CR_Cmd_Acces_Modif!198:198-"'&lt;!7V"</f>
        <v>#VALUE!</v>
      </c>
      <c r="FF14" t="e">
        <f>CR_Cmd_Acces_Modif!199:199-"'&lt;!7W"</f>
        <v>#VALUE!</v>
      </c>
      <c r="FG14" t="e">
        <f>CR_Cmd_Acces_Modif!200:200-"'&lt;!7X"</f>
        <v>#VALUE!</v>
      </c>
      <c r="FH14" t="e">
        <f>CR_Cmd_Acces_Modif!201:201-"'&lt;!7Y"</f>
        <v>#VALUE!</v>
      </c>
      <c r="FI14" t="e">
        <f>CR_Cmd_Acces_Modif!202:202-"'&lt;!7Z"</f>
        <v>#VALUE!</v>
      </c>
      <c r="FJ14" t="e">
        <f>CR_Cmd_Acces_Modif!203:203-"'&lt;!7["</f>
        <v>#VALUE!</v>
      </c>
      <c r="FK14" t="e">
        <f>CR_Cmd_Acces_Modif!204:204-"'&lt;!7\"</f>
        <v>#VALUE!</v>
      </c>
      <c r="FL14" t="e">
        <f>CR_Cmd_Acces_Modif!205:205-"'&lt;!7]"</f>
        <v>#VALUE!</v>
      </c>
      <c r="FM14" t="e">
        <f>CR_Cmd_Acces_Modif!206:206-"'&lt;!7^"</f>
        <v>#VALUE!</v>
      </c>
      <c r="FN14" t="e">
        <f>CR_Cmd_Acces_Modif!207:207-"'&lt;!7_"</f>
        <v>#VALUE!</v>
      </c>
      <c r="FO14" t="e">
        <f>CR_Cmd_Acces_Modif!208:208-"'&lt;!7`"</f>
        <v>#VALUE!</v>
      </c>
      <c r="FP14" t="e">
        <f>CR_Cmd_Acces_Modif!209:209-"'&lt;!7a"</f>
        <v>#VALUE!</v>
      </c>
      <c r="FQ14" t="e">
        <f>CR_Cmd_Acces_Modif!210:210-"'&lt;!7b"</f>
        <v>#VALUE!</v>
      </c>
      <c r="FR14" t="e">
        <f>CR_Cmd_Acces_Modif!211:211-"'&lt;!7c"</f>
        <v>#VALUE!</v>
      </c>
      <c r="FS14" t="e">
        <f>CR_Cmd_Acces_Modif!212:212-"'&lt;!7d"</f>
        <v>#VALUE!</v>
      </c>
      <c r="FT14" t="e">
        <f>CR_MAD_Accès_Modif!A1+"'&lt;!7e"</f>
        <v>#VALUE!</v>
      </c>
      <c r="FU14" t="e">
        <f>CR_MAD_Accès_Modif!B1+"'&lt;!7f"</f>
        <v>#VALUE!</v>
      </c>
      <c r="FV14" t="e">
        <f>CR_MAD_Accès_Modif!C1+"'&lt;!7g"</f>
        <v>#VALUE!</v>
      </c>
      <c r="FW14" t="e">
        <f>CR_MAD_Accès_Modif!D1+"'&lt;!7h"</f>
        <v>#VALUE!</v>
      </c>
      <c r="FX14" t="e">
        <f>CR_MAD_Accès_Modif!F1+"'&lt;!7i"</f>
        <v>#VALUE!</v>
      </c>
      <c r="FY14" t="e">
        <f>CR_MAD_Accès_Modif!A2+"'&lt;!7j"</f>
        <v>#VALUE!</v>
      </c>
      <c r="FZ14" t="e">
        <f>CR_MAD_Accès_Modif!B2+"'&lt;!7k"</f>
        <v>#VALUE!</v>
      </c>
      <c r="GA14" t="e">
        <f>CR_MAD_Accès_Modif!C2+"'&lt;!7l"</f>
        <v>#VALUE!</v>
      </c>
      <c r="GB14" t="e">
        <f>CR_MAD_Accès_Modif!D2+"'&lt;!7m"</f>
        <v>#VALUE!</v>
      </c>
      <c r="GC14" t="e">
        <f>CR_MAD_Accès_Modif!F2+"'&lt;!7n"</f>
        <v>#VALUE!</v>
      </c>
      <c r="GD14" t="e">
        <f>CR_MAD_Accès_Modif!A3+"'&lt;!7o"</f>
        <v>#VALUE!</v>
      </c>
      <c r="GE14" t="e">
        <f>CR_MAD_Accès_Modif!B3+"'&lt;!7p"</f>
        <v>#VALUE!</v>
      </c>
      <c r="GF14" t="e">
        <f>CR_MAD_Accès_Modif!C3+"'&lt;!7q"</f>
        <v>#VALUE!</v>
      </c>
      <c r="GG14" t="e">
        <f>CR_MAD_Accès_Modif!D3+"'&lt;!7r"</f>
        <v>#VALUE!</v>
      </c>
      <c r="GH14" t="e">
        <f>CR_MAD_Accès_Modif!F3+"'&lt;!7s"</f>
        <v>#VALUE!</v>
      </c>
      <c r="GI14" t="e">
        <f>CR_MAD_Accès_Modif!A4+"'&lt;!7t"</f>
        <v>#VALUE!</v>
      </c>
      <c r="GJ14" t="e">
        <f>CR_MAD_Accès_Modif!B4+"'&lt;!7u"</f>
        <v>#VALUE!</v>
      </c>
      <c r="GK14" t="e">
        <f>CR_MAD_Accès_Modif!C4+"'&lt;!7v"</f>
        <v>#VALUE!</v>
      </c>
      <c r="GL14" t="e">
        <f>CR_MAD_Accès_Modif!D4+"'&lt;!7w"</f>
        <v>#VALUE!</v>
      </c>
      <c r="GM14" t="e">
        <f>CR_MAD_Accès_Modif!E4+"'&lt;!7x"</f>
        <v>#VALUE!</v>
      </c>
      <c r="GN14" t="e">
        <f>CR_MAD_Accès_Modif!F4+"'&lt;!7y"</f>
        <v>#VALUE!</v>
      </c>
      <c r="GO14" t="e">
        <f>CR_MAD_Accès_Modif!H4+"'&lt;!7z"</f>
        <v>#VALUE!</v>
      </c>
      <c r="GP14" t="e">
        <f>CR_MAD_Accès_Modif!A5+"'&lt;!7{"</f>
        <v>#VALUE!</v>
      </c>
      <c r="GQ14" t="e">
        <f>CR_MAD_Accès_Modif!B5+"'&lt;!7|"</f>
        <v>#VALUE!</v>
      </c>
      <c r="GR14" t="e">
        <f>CR_MAD_Accès_Modif!C5+"'&lt;!7}"</f>
        <v>#VALUE!</v>
      </c>
      <c r="GS14" t="e">
        <f>CR_MAD_Accès_Modif!D5+"'&lt;!7~"</f>
        <v>#VALUE!</v>
      </c>
      <c r="GT14" t="e">
        <f>CR_MAD_Accès_Modif!E5+"'&lt;!8#"</f>
        <v>#VALUE!</v>
      </c>
      <c r="GU14" t="e">
        <f>CR_MAD_Accès_Modif!F5+"'&lt;!8$"</f>
        <v>#VALUE!</v>
      </c>
      <c r="GV14" t="e">
        <f>CR_MAD_Accès_Modif!H5+"'&lt;!8%"</f>
        <v>#VALUE!</v>
      </c>
      <c r="GW14" t="e">
        <f>CR_MAD_Accès_Modif!A6+"'&lt;!8&amp;"</f>
        <v>#VALUE!</v>
      </c>
      <c r="GX14" t="e">
        <f>CR_MAD_Accès_Modif!B6+"'&lt;!8'"</f>
        <v>#VALUE!</v>
      </c>
      <c r="GY14" t="e">
        <f>CR_MAD_Accès_Modif!C6+"'&lt;!8("</f>
        <v>#VALUE!</v>
      </c>
      <c r="GZ14" t="e">
        <f>CR_MAD_Accès_Modif!D6+"'&lt;!8)"</f>
        <v>#VALUE!</v>
      </c>
      <c r="HA14" t="e">
        <f>CR_MAD_Accès_Modif!F6+"'&lt;!8."</f>
        <v>#VALUE!</v>
      </c>
      <c r="HB14" t="e">
        <f>CR_MAD_Accès_Modif!A7+"'&lt;!8/"</f>
        <v>#VALUE!</v>
      </c>
      <c r="HC14" t="e">
        <f>CR_MAD_Accès_Modif!B7+"'&lt;!80"</f>
        <v>#VALUE!</v>
      </c>
      <c r="HD14" t="e">
        <f>CR_MAD_Accès_Modif!C7+"'&lt;!81"</f>
        <v>#VALUE!</v>
      </c>
      <c r="HE14" t="e">
        <f>CR_MAD_Accès_Modif!D7+"'&lt;!82"</f>
        <v>#VALUE!</v>
      </c>
      <c r="HF14" t="e">
        <f>CR_MAD_Accès_Modif!F7+"'&lt;!83"</f>
        <v>#VALUE!</v>
      </c>
      <c r="HG14" t="e">
        <f>CR_MAD_Accès_Modif!A8+"'&lt;!84"</f>
        <v>#VALUE!</v>
      </c>
      <c r="HH14" t="e">
        <f>CR_MAD_Accès_Modif!B8+"'&lt;!85"</f>
        <v>#VALUE!</v>
      </c>
      <c r="HI14" t="e">
        <f>CR_MAD_Accès_Modif!C8+"'&lt;!86"</f>
        <v>#VALUE!</v>
      </c>
      <c r="HJ14" t="e">
        <f>CR_MAD_Accès_Modif!D8+"'&lt;!87"</f>
        <v>#VALUE!</v>
      </c>
      <c r="HK14" t="e">
        <f>CR_MAD_Accès_Modif!F8+"'&lt;!88"</f>
        <v>#VALUE!</v>
      </c>
      <c r="HL14" t="e">
        <f>CR_MAD_Accès_Modif!F9+"'&lt;!89"</f>
        <v>#VALUE!</v>
      </c>
      <c r="HM14" t="e">
        <f>CR_MAD_Accès_Modif!A12+"'&lt;!8:"</f>
        <v>#VALUE!</v>
      </c>
      <c r="HN14" t="e">
        <f>CR_MAD_Accès_Modif!A13+"'&lt;!8;"</f>
        <v>#VALUE!</v>
      </c>
      <c r="HO14" t="e">
        <f>CR_MAD_Accès_Modif!A:A*"'&lt;!8&lt;"</f>
        <v>#VALUE!</v>
      </c>
      <c r="HP14" t="e">
        <f>CR_MAD_Accès_Modif!B:B*"'&lt;!8="</f>
        <v>#VALUE!</v>
      </c>
      <c r="HQ14" t="e">
        <f>CR_MAD_Accès_Modif!C:C*"'&lt;!8&gt;"</f>
        <v>#VALUE!</v>
      </c>
      <c r="HR14" t="e">
        <f>CR_MAD_Accès_Modif!D:D*"'&lt;!8?"</f>
        <v>#VALUE!</v>
      </c>
      <c r="HS14" t="e">
        <f>CR_MAD_Accès_Modif!E:E*"'&lt;!8@"</f>
        <v>#VALUE!</v>
      </c>
      <c r="HT14" t="e">
        <f>CR_MAD_Accès_Modif!F:F*"'&lt;!8A"</f>
        <v>#VALUE!</v>
      </c>
      <c r="HU14" t="e">
        <f>CR_MAD_Accès_Modif!G:G*"'&lt;!8B"</f>
        <v>#VALUE!</v>
      </c>
      <c r="HV14" t="e">
        <f>CR_MAD_Accès_Modif!H:H*"'&lt;!8C"</f>
        <v>#VALUE!</v>
      </c>
      <c r="HW14" t="e">
        <f>CR_MAD_Accès_Modif!I:I*"'&lt;!8D"</f>
        <v>#VALUE!</v>
      </c>
      <c r="HX14" t="e">
        <f>CR_MAD_Accès_Modif!J:J*"'&lt;!8E"</f>
        <v>#VALUE!</v>
      </c>
      <c r="HY14" t="e">
        <f>CR_MAD_Accès_Modif!K:K*"'&lt;!8F"</f>
        <v>#VALUE!</v>
      </c>
      <c r="HZ14" t="e">
        <f>CR_MAD_Accès_Modif!L:L*"'&lt;!8G"</f>
        <v>#VALUE!</v>
      </c>
      <c r="IA14" t="e">
        <f>CR_MAD_Accès_Modif!M:M*"'&lt;!8H"</f>
        <v>#VALUE!</v>
      </c>
      <c r="IB14" t="e">
        <f>CR_MAD_Accès_Modif!N:N*"'&lt;!8I"</f>
        <v>#VALUE!</v>
      </c>
      <c r="IC14" t="e">
        <f>CR_MAD_Accès_Modif!O:O*"'&lt;!8J"</f>
        <v>#VALUE!</v>
      </c>
      <c r="ID14" t="e">
        <f>CR_MAD_Accès_Modif!P:P*"'&lt;!8K"</f>
        <v>#VALUE!</v>
      </c>
      <c r="IE14" t="e">
        <f>CR_MAD_Accès_Modif!Q:Q*"'&lt;!8L"</f>
        <v>#VALUE!</v>
      </c>
      <c r="IF14" t="e">
        <f>CR_MAD_Accès_Modif!R:R*"'&lt;!8M"</f>
        <v>#VALUE!</v>
      </c>
      <c r="IG14" t="e">
        <f>CR_MAD_Accès_Modif!S:S*"'&lt;!8N"</f>
        <v>#VALUE!</v>
      </c>
      <c r="IH14" t="e">
        <f>CR_MAD_Accès_Modif!T:T*"'&lt;!8O"</f>
        <v>#VALUE!</v>
      </c>
      <c r="II14" t="e">
        <f>CR_MAD_Accès_Modif!U:U*"'&lt;!8P"</f>
        <v>#VALUE!</v>
      </c>
      <c r="IJ14" t="e">
        <f>CR_MAD_Accès_Modif!V:V*"'&lt;!8Q"</f>
        <v>#VALUE!</v>
      </c>
      <c r="IK14" t="e">
        <f>CR_MAD_Accès_Modif!W:W*"'&lt;!8R"</f>
        <v>#VALUE!</v>
      </c>
      <c r="IL14" t="e">
        <f>CR_MAD_Accès_Modif!X:X*"'&lt;!8S"</f>
        <v>#VALUE!</v>
      </c>
      <c r="IM14" t="e">
        <f>CR_MAD_Accès_Modif!Y:Y*"'&lt;!8T"</f>
        <v>#VALUE!</v>
      </c>
      <c r="IN14" t="e">
        <f>CR_MAD_Accès_Modif!Z:Z*"'&lt;!8U"</f>
        <v>#VALUE!</v>
      </c>
      <c r="IO14" t="e">
        <f>CR_MAD_Accès_Modif!AA:AA*"'&lt;!8V"</f>
        <v>#VALUE!</v>
      </c>
      <c r="IP14" t="e">
        <f>CR_MAD_Accès_Modif!AB:AB*"'&lt;!8W"</f>
        <v>#VALUE!</v>
      </c>
      <c r="IQ14" t="e">
        <f>CR_MAD_Accès_Modif!AC:AC*"'&lt;!8X"</f>
        <v>#VALUE!</v>
      </c>
      <c r="IR14" t="e">
        <f>CR_MAD_Accès_Modif!AD:AD*"'&lt;!8Y"</f>
        <v>#VALUE!</v>
      </c>
      <c r="IS14" t="e">
        <f>CR_MAD_Accès_Modif!AE:AE*"'&lt;!8Z"</f>
        <v>#VALUE!</v>
      </c>
      <c r="IT14" t="e">
        <f>CR_MAD_Accès_Modif!AF:AF*"'&lt;!8["</f>
        <v>#VALUE!</v>
      </c>
      <c r="IU14" t="e">
        <f>CR_MAD_Accès_Modif!AG:AG*"'&lt;!8\"</f>
        <v>#VALUE!</v>
      </c>
      <c r="IV14" t="e">
        <f>CR_MAD_Accès_Modif!AH:AH*"'&lt;!8]"</f>
        <v>#VALUE!</v>
      </c>
    </row>
    <row r="15" spans="1:256">
      <c r="F15" t="e">
        <f>CR_MAD_Accès_Modif!AI:AI*"'&lt;!8^"</f>
        <v>#VALUE!</v>
      </c>
      <c r="G15" t="e">
        <f>CR_MAD_Accès_Modif!AJ:AJ*"'&lt;!8_"</f>
        <v>#VALUE!</v>
      </c>
      <c r="H15" t="e">
        <f>CR_MAD_Accès_Modif!AK:AK*"'&lt;!8`"</f>
        <v>#VALUE!</v>
      </c>
      <c r="I15" t="e">
        <f>CR_MAD_Accès_Modif!AL:AL*"'&lt;!8a"</f>
        <v>#VALUE!</v>
      </c>
      <c r="J15" t="e">
        <f>CR_MAD_Accès_Modif!AM:AM*"'&lt;!8b"</f>
        <v>#VALUE!</v>
      </c>
      <c r="K15" t="e">
        <f>CR_MAD_Accès_Modif!AN:AN*"'&lt;!8c"</f>
        <v>#VALUE!</v>
      </c>
      <c r="L15" t="e">
        <f>CR_MAD_Accès_Modif!AO:AO*"'&lt;!8d"</f>
        <v>#VALUE!</v>
      </c>
      <c r="M15" t="e">
        <f>CR_MAD_Accès_Modif!AP:AP*"'&lt;!8e"</f>
        <v>#VALUE!</v>
      </c>
      <c r="N15" t="e">
        <f>CR_MAD_Accès_Modif!AQ:AQ*"'&lt;!8f"</f>
        <v>#VALUE!</v>
      </c>
      <c r="O15" t="e">
        <f>CR_MAD_Accès_Modif!AR:AR*"'&lt;!8g"</f>
        <v>#VALUE!</v>
      </c>
      <c r="P15" t="e">
        <f>CR_MAD_Accès_Modif!AS:AS*"'&lt;!8h"</f>
        <v>#VALUE!</v>
      </c>
      <c r="Q15" t="e">
        <f>CR_MAD_Accès_Modif!AT:AT*"'&lt;!8i"</f>
        <v>#VALUE!</v>
      </c>
      <c r="R15" t="e">
        <f>CR_MAD_Accès_Modif!AU:AU*"'&lt;!8j"</f>
        <v>#VALUE!</v>
      </c>
      <c r="S15" t="e">
        <f>CR_MAD_Accès_Modif!AV:AV*"'&lt;!8k"</f>
        <v>#VALUE!</v>
      </c>
      <c r="T15" t="e">
        <f>CR_MAD_Accès_Modif!AW:AW*"'&lt;!8l"</f>
        <v>#VALUE!</v>
      </c>
      <c r="U15" t="e">
        <f>CR_MAD_Accès_Modif!AX:AX*"'&lt;!8m"</f>
        <v>#VALUE!</v>
      </c>
      <c r="V15" t="e">
        <f>CR_MAD_Accès_Modif!AY:AY*"'&lt;!8n"</f>
        <v>#VALUE!</v>
      </c>
      <c r="W15" t="e">
        <f>CR_MAD_Accès_Modif!AZ:AZ*"'&lt;!8o"</f>
        <v>#VALUE!</v>
      </c>
      <c r="X15" t="e">
        <f>CR_MAD_Accès_Modif!BA:BA*"'&lt;!8p"</f>
        <v>#VALUE!</v>
      </c>
      <c r="Y15" t="e">
        <f>CR_MAD_Accès_Modif!BB:BB*"'&lt;!8q"</f>
        <v>#VALUE!</v>
      </c>
      <c r="Z15" t="e">
        <f>CR_MAD_Accès_Modif!BC:BC*"'&lt;!8r"</f>
        <v>#VALUE!</v>
      </c>
      <c r="AA15" t="e">
        <f>CR_MAD_Accès_Modif!BD:BD*"'&lt;!8s"</f>
        <v>#VALUE!</v>
      </c>
      <c r="AB15" t="e">
        <f>CR_MAD_Accès_Modif!BE:BE*"'&lt;!8t"</f>
        <v>#VALUE!</v>
      </c>
      <c r="AC15" t="e">
        <f>CR_MAD_Accès_Modif!BF:BF*"'&lt;!8u"</f>
        <v>#VALUE!</v>
      </c>
      <c r="AD15" t="e">
        <f>CR_MAD_Accès_Modif!1:1-"'&lt;!8v"</f>
        <v>#VALUE!</v>
      </c>
      <c r="AE15" t="e">
        <f>CR_MAD_Accès_Modif!2:2-"'&lt;!8w"</f>
        <v>#VALUE!</v>
      </c>
      <c r="AF15" t="e">
        <f>CR_MAD_Accès_Modif!3:3-"'&lt;!8x"</f>
        <v>#VALUE!</v>
      </c>
      <c r="AG15" t="e">
        <f>CR_MAD_Accès_Modif!4:4-"'&lt;!8y"</f>
        <v>#VALUE!</v>
      </c>
      <c r="AH15" t="e">
        <f>CR_MAD_Accès_Modif!5:5-"'&lt;!8z"</f>
        <v>#VALUE!</v>
      </c>
      <c r="AI15" t="e">
        <f>CR_MAD_Accès_Modif!6:6-"'&lt;!8{"</f>
        <v>#VALUE!</v>
      </c>
      <c r="AJ15" t="e">
        <f>CR_MAD_Accès_Modif!7:7-"'&lt;!8|"</f>
        <v>#VALUE!</v>
      </c>
      <c r="AK15" t="e">
        <f>CR_MAD_Accès_Modif!8:8-"'&lt;!8}"</f>
        <v>#VALUE!</v>
      </c>
      <c r="AL15" t="e">
        <f>CR_MAD_Accès_Modif!9:9-"'&lt;!8~"</f>
        <v>#VALUE!</v>
      </c>
      <c r="AM15" t="e">
        <f>CR_MAD_Accès_Modif!10:10-"'&lt;!9#"</f>
        <v>#VALUE!</v>
      </c>
      <c r="AN15" t="e">
        <f>CR_MAD_Accès_Modif!11:11-"'&lt;!9$"</f>
        <v>#VALUE!</v>
      </c>
      <c r="AO15" t="e">
        <f>CR_MAD_Accès_Modif!12:12-"'&lt;!9%"</f>
        <v>#VALUE!</v>
      </c>
      <c r="AP15" t="e">
        <f>CR_MAD_Accès_Modif!13:13-"'&lt;!9&amp;"</f>
        <v>#VALUE!</v>
      </c>
      <c r="AQ15" t="e">
        <f>CR_MAD_Accès_Modif!14:14-"'&lt;!9'"</f>
        <v>#VALUE!</v>
      </c>
      <c r="AR15" t="e">
        <f>CR_MAD_Accès_Modif!15:15-"'&lt;!9("</f>
        <v>#VALUE!</v>
      </c>
      <c r="AS15" t="e">
        <f>CR_MAD_Accès_Modif!16:16-"'&lt;!9)"</f>
        <v>#VALUE!</v>
      </c>
      <c r="AT15" t="e">
        <f>CR_MAD_Accès_Modif!17:17-"'&lt;!9."</f>
        <v>#VALUE!</v>
      </c>
      <c r="AU15" t="e">
        <f>CR_MAD_Accès_Modif!18:18-"'&lt;!9/"</f>
        <v>#VALUE!</v>
      </c>
      <c r="AV15" t="e">
        <f>CR_MAD_Accès_Modif!19:19-"'&lt;!90"</f>
        <v>#VALUE!</v>
      </c>
      <c r="AW15" t="e">
        <f>CR_MAD_Accès_Modif!20:20-"'&lt;!91"</f>
        <v>#VALUE!</v>
      </c>
      <c r="AX15" t="e">
        <f>CR_MAD_Accès_Modif!21:21-"'&lt;!92"</f>
        <v>#VALUE!</v>
      </c>
      <c r="AY15" t="e">
        <f>CR_MAD_Accès_Modif!22:22-"'&lt;!93"</f>
        <v>#VALUE!</v>
      </c>
      <c r="AZ15" t="e">
        <f>CR_MAD_Accès_Modif!23:23-"'&lt;!94"</f>
        <v>#VALUE!</v>
      </c>
      <c r="BA15" t="e">
        <f>CR_MAD_Accès_Modif!24:24-"'&lt;!95"</f>
        <v>#VALUE!</v>
      </c>
      <c r="BB15" t="e">
        <f>CR_MAD_Accès_Modif!25:25-"'&lt;!96"</f>
        <v>#VALUE!</v>
      </c>
      <c r="BC15" t="e">
        <f>CR_MAD_Accès_Modif!26:26-"'&lt;!97"</f>
        <v>#VALUE!</v>
      </c>
      <c r="BD15" t="e">
        <f>CR_MAD_Accès_Modif!27:27-"'&lt;!98"</f>
        <v>#VALUE!</v>
      </c>
      <c r="BE15" t="e">
        <f>CR_MAD_Accès_Modif!28:28-"'&lt;!99"</f>
        <v>#VALUE!</v>
      </c>
      <c r="BF15" t="e">
        <f>CR_MAD_Accès_Modif!29:29-"'&lt;!9:"</f>
        <v>#VALUE!</v>
      </c>
      <c r="BG15" t="e">
        <f>CR_MAD_Accès_Modif!30:30-"'&lt;!9;"</f>
        <v>#VALUE!</v>
      </c>
      <c r="BH15" t="e">
        <f>CR_MAD_Accès_Modif!31:31-"'&lt;!9&lt;"</f>
        <v>#VALUE!</v>
      </c>
      <c r="BI15" t="e">
        <f>CR_MAD_Accès_Modif!32:32-"'&lt;!9="</f>
        <v>#VALUE!</v>
      </c>
      <c r="BJ15" t="e">
        <f>CR_MAD_Accès_Modif!33:33-"'&lt;!9&gt;"</f>
        <v>#VALUE!</v>
      </c>
      <c r="BK15" t="e">
        <f>CR_MAD_Accès_Modif!34:34-"'&lt;!9?"</f>
        <v>#VALUE!</v>
      </c>
      <c r="BL15" t="e">
        <f>CR_MAD_Accès_Modif!35:35-"'&lt;!9@"</f>
        <v>#VALUE!</v>
      </c>
      <c r="BM15" t="e">
        <f>CR_MAD_Accès_Modif!36:36-"'&lt;!9A"</f>
        <v>#VALUE!</v>
      </c>
      <c r="BN15" t="e">
        <f>CR_MAD_Accès_Modif!37:37-"'&lt;!9B"</f>
        <v>#VALUE!</v>
      </c>
      <c r="BO15" t="e">
        <f>CR_MAD_Accès_Modif!38:38-"'&lt;!9C"</f>
        <v>#VALUE!</v>
      </c>
      <c r="BP15" t="e">
        <f>CR_MAD_Accès_Modif!39:39-"'&lt;!9D"</f>
        <v>#VALUE!</v>
      </c>
      <c r="BQ15" t="e">
        <f>CR_MAD_Accès_Modif!40:40-"'&lt;!9E"</f>
        <v>#VALUE!</v>
      </c>
      <c r="BR15" t="e">
        <f>CR_MAD_Accès_Modif!41:41-"'&lt;!9F"</f>
        <v>#VALUE!</v>
      </c>
      <c r="BS15" t="e">
        <f>CR_MAD_Accès_Modif!42:42-"'&lt;!9G"</f>
        <v>#VALUE!</v>
      </c>
      <c r="BT15" t="e">
        <f>CR_MAD_Accès_Modif!43:43-"'&lt;!9H"</f>
        <v>#VALUE!</v>
      </c>
      <c r="BU15" t="e">
        <f>CR_MAD_Accès_Modif!44:44-"'&lt;!9I"</f>
        <v>#VALUE!</v>
      </c>
      <c r="BV15" t="e">
        <f>CR_MAD_Accès_Modif!45:45-"'&lt;!9J"</f>
        <v>#VALUE!</v>
      </c>
      <c r="BW15" t="e">
        <f>CR_MAD_Accès_Modif!46:46-"'&lt;!9K"</f>
        <v>#VALUE!</v>
      </c>
      <c r="BX15" t="e">
        <f>CR_MAD_Accès_Modif!47:47-"'&lt;!9L"</f>
        <v>#VALUE!</v>
      </c>
      <c r="BY15" t="e">
        <f>CR_MAD_Accès_Modif!48:48-"'&lt;!9M"</f>
        <v>#VALUE!</v>
      </c>
      <c r="BZ15" t="e">
        <f>CR_MAD_Accès_Modif!49:49-"'&lt;!9N"</f>
        <v>#VALUE!</v>
      </c>
      <c r="CA15" t="e">
        <f>CR_MAD_Accès_Modif!50:50-"'&lt;!9O"</f>
        <v>#VALUE!</v>
      </c>
      <c r="CB15" t="e">
        <f>CR_MAD_Accès_Modif!51:51-"'&lt;!9P"</f>
        <v>#VALUE!</v>
      </c>
      <c r="CC15" t="e">
        <f>CR_MAD_Accès_Modif!52:52-"'&lt;!9Q"</f>
        <v>#VALUE!</v>
      </c>
      <c r="CD15" t="e">
        <f>CR_MAD_Accès_Modif!53:53-"'&lt;!9R"</f>
        <v>#VALUE!</v>
      </c>
      <c r="CE15" t="e">
        <f>CR_MAD_Accès_Modif!54:54-"'&lt;!9S"</f>
        <v>#VALUE!</v>
      </c>
      <c r="CF15" t="e">
        <f>CR_MAD_Accès_Modif!55:55-"'&lt;!9T"</f>
        <v>#VALUE!</v>
      </c>
      <c r="CG15" t="e">
        <f>CR_MAD_Accès_Modif!56:56-"'&lt;!9U"</f>
        <v>#VALUE!</v>
      </c>
      <c r="CH15" t="e">
        <f>CR_MAD_Accès_Modif!57:57-"'&lt;!9V"</f>
        <v>#VALUE!</v>
      </c>
      <c r="CI15" t="e">
        <f>CR_MAD_Accès_Modif!58:58-"'&lt;!9W"</f>
        <v>#VALUE!</v>
      </c>
      <c r="CJ15" t="e">
        <f>CR_MAD_Accès_Modif!59:59-"'&lt;!9X"</f>
        <v>#VALUE!</v>
      </c>
      <c r="CK15" t="e">
        <f>CR_MAD_Accès_Modif!60:60-"'&lt;!9Y"</f>
        <v>#VALUE!</v>
      </c>
      <c r="CL15" t="e">
        <f>CR_MAD_Accès_Modif!61:61-"'&lt;!9Z"</f>
        <v>#VALUE!</v>
      </c>
      <c r="CM15" t="e">
        <f>CR_MAD_Accès_Modif!62:62-"'&lt;!9["</f>
        <v>#VALUE!</v>
      </c>
      <c r="CN15" t="e">
        <f>CR_MAD_Accès_Modif!63:63-"'&lt;!9\"</f>
        <v>#VALUE!</v>
      </c>
      <c r="CO15" t="e">
        <f>CR_MAD_Accès_Modif!64:64-"'&lt;!9]"</f>
        <v>#VALUE!</v>
      </c>
      <c r="CP15" t="e">
        <f>CR_MAD_Accès_Modif!65:65-"'&lt;!9^"</f>
        <v>#VALUE!</v>
      </c>
      <c r="CQ15" t="e">
        <f>CR_MAD_Accès_Modif!66:66-"'&lt;!9_"</f>
        <v>#VALUE!</v>
      </c>
      <c r="CR15" t="e">
        <f>CR_MAD_Accès_Modif!67:67-"'&lt;!9`"</f>
        <v>#VALUE!</v>
      </c>
      <c r="CS15" t="e">
        <f>CR_MAD_Accès_Modif!68:68-"'&lt;!9a"</f>
        <v>#VALUE!</v>
      </c>
      <c r="CT15" t="e">
        <f>CR_MAD_Accès_Modif!69:69-"'&lt;!9b"</f>
        <v>#VALUE!</v>
      </c>
      <c r="CU15" t="e">
        <f>CR_MAD_Accès_Modif!70:70-"'&lt;!9c"</f>
        <v>#VALUE!</v>
      </c>
      <c r="CV15" t="e">
        <f>CR_MAD_Accès_Modif!71:71-"'&lt;!9d"</f>
        <v>#VALUE!</v>
      </c>
      <c r="CW15" t="e">
        <f>CR_MAD_Accès_Modif!72:72-"'&lt;!9e"</f>
        <v>#VALUE!</v>
      </c>
      <c r="CX15" t="e">
        <f>CR_MAD_Accès_Modif!73:73-"'&lt;!9f"</f>
        <v>#VALUE!</v>
      </c>
      <c r="CY15" t="e">
        <f>CR_MAD_Accès_Modif!74:74-"'&lt;!9g"</f>
        <v>#VALUE!</v>
      </c>
      <c r="CZ15" t="e">
        <f>CR_MAD_Accès_Modif!75:75-"'&lt;!9h"</f>
        <v>#VALUE!</v>
      </c>
      <c r="DA15" t="e">
        <f>CR_MAD_Accès_Modif!76:76-"'&lt;!9i"</f>
        <v>#VALUE!</v>
      </c>
      <c r="DB15" t="e">
        <f>CR_MAD_Accès_Modif!77:77-"'&lt;!9j"</f>
        <v>#VALUE!</v>
      </c>
      <c r="DC15" t="e">
        <f>CR_MAD_Accès_Modif!78:78-"'&lt;!9k"</f>
        <v>#VALUE!</v>
      </c>
      <c r="DD15" t="e">
        <f>CR_MAD_Accès_Modif!79:79-"'&lt;!9l"</f>
        <v>#VALUE!</v>
      </c>
      <c r="DE15" t="e">
        <f>CR_MAD_Accès_Modif!80:80-"'&lt;!9m"</f>
        <v>#VALUE!</v>
      </c>
      <c r="DF15" t="e">
        <f>CR_MAD_Accès_Modif!81:81-"'&lt;!9n"</f>
        <v>#VALUE!</v>
      </c>
      <c r="DG15" t="e">
        <f>CR_MAD_Accès_Modif!82:82-"'&lt;!9o"</f>
        <v>#VALUE!</v>
      </c>
      <c r="DH15" t="e">
        <f>CR_MAD_Accès_Modif!83:83-"'&lt;!9p"</f>
        <v>#VALUE!</v>
      </c>
      <c r="DI15" t="e">
        <f>CR_MAD_Accès_Modif!84:84-"'&lt;!9q"</f>
        <v>#VALUE!</v>
      </c>
      <c r="DJ15" t="e">
        <f>CR_MAD_Accès_Modif!85:85-"'&lt;!9r"</f>
        <v>#VALUE!</v>
      </c>
      <c r="DK15" t="e">
        <f>CR_MAD_Accès_Modif!86:86-"'&lt;!9s"</f>
        <v>#VALUE!</v>
      </c>
      <c r="DL15" t="e">
        <f>CR_MAD_Accès_Modif!87:87-"'&lt;!9t"</f>
        <v>#VALUE!</v>
      </c>
      <c r="DM15" t="e">
        <f>CR_MAD_Accès_Modif!88:88-"'&lt;!9u"</f>
        <v>#VALUE!</v>
      </c>
      <c r="DN15" t="e">
        <f>CR_MAD_Accès_Modif!89:89-"'&lt;!9v"</f>
        <v>#VALUE!</v>
      </c>
      <c r="DO15" t="e">
        <f>CR_MAD_Accès_Modif!90:90-"'&lt;!9w"</f>
        <v>#VALUE!</v>
      </c>
      <c r="DP15" t="e">
        <f>CR_MAD_Accès_Modif!91:91-"'&lt;!9x"</f>
        <v>#VALUE!</v>
      </c>
      <c r="DQ15" t="e">
        <f>CR_MAD_Accès_Modif!92:92-"'&lt;!9y"</f>
        <v>#VALUE!</v>
      </c>
      <c r="DR15" t="e">
        <f>CR_MAD_Accès_Modif!93:93-"'&lt;!9z"</f>
        <v>#VALUE!</v>
      </c>
      <c r="DS15" t="e">
        <f>CR_MAD_Accès_Modif!94:94-"'&lt;!9{"</f>
        <v>#VALUE!</v>
      </c>
      <c r="DT15" t="e">
        <f>CR_MAD_Accès_Modif!95:95-"'&lt;!9|"</f>
        <v>#VALUE!</v>
      </c>
      <c r="DU15" t="e">
        <f>CR_MAD_Accès_Modif!96:96-"'&lt;!9}"</f>
        <v>#VALUE!</v>
      </c>
      <c r="DV15" t="e">
        <f>CR_MAD_Accès_Modif!97:97-"'&lt;!9~"</f>
        <v>#VALUE!</v>
      </c>
      <c r="DW15" t="e">
        <f>CR_MAD_Accès_Modif!98:98-"'&lt;!:#"</f>
        <v>#VALUE!</v>
      </c>
      <c r="DX15" t="e">
        <f>CR_MAD_Accès_Modif!99:99-"'&lt;!:$"</f>
        <v>#VALUE!</v>
      </c>
      <c r="DY15" t="e">
        <f>CR_MAD_Accès_Modif!100:100-"'&lt;!:%"</f>
        <v>#VALUE!</v>
      </c>
      <c r="DZ15" t="e">
        <f>CR_MAD_Accès_Modif!101:101-"'&lt;!:&amp;"</f>
        <v>#VALUE!</v>
      </c>
      <c r="EA15" t="e">
        <f>CR_MAD_Accès_Modif!102:102-"'&lt;!:'"</f>
        <v>#VALUE!</v>
      </c>
      <c r="EB15" t="e">
        <f>CR_MAD_Accès_Modif!103:103-"'&lt;!:("</f>
        <v>#VALUE!</v>
      </c>
      <c r="EC15" t="e">
        <f>CR_MAD_Accès_Modif!104:104-"'&lt;!:)"</f>
        <v>#VALUE!</v>
      </c>
      <c r="ED15" t="e">
        <f>CR_MAD_Accès_Modif!105:105-"'&lt;!:."</f>
        <v>#VALUE!</v>
      </c>
      <c r="EE15" t="e">
        <f>CR_MAD_Accès_Modif!106:106-"'&lt;!:/"</f>
        <v>#VALUE!</v>
      </c>
      <c r="EF15" t="e">
        <f>CR_MAD_Accès_Modif!107:107-"'&lt;!:0"</f>
        <v>#VALUE!</v>
      </c>
      <c r="EG15" t="e">
        <f>CR_MAD_Accès_Modif!108:108-"'&lt;!:1"</f>
        <v>#VALUE!</v>
      </c>
      <c r="EH15" t="e">
        <f>CR_MAD_Accès_Modif!109:109-"'&lt;!:2"</f>
        <v>#VALUE!</v>
      </c>
      <c r="EI15" t="e">
        <f>CR_MAD_Accès_Modif!110:110-"'&lt;!:3"</f>
        <v>#VALUE!</v>
      </c>
      <c r="EJ15" t="e">
        <f>CR_MAD_Accès_Modif!111:111-"'&lt;!:4"</f>
        <v>#VALUE!</v>
      </c>
      <c r="EK15" t="e">
        <f>CR_MAD_Accès_Modif!112:112-"'&lt;!:5"</f>
        <v>#VALUE!</v>
      </c>
      <c r="EL15" t="e">
        <f>CR_MAD_Accès_Modif!113:113-"'&lt;!:6"</f>
        <v>#VALUE!</v>
      </c>
      <c r="EM15" t="e">
        <f>CR_MAD_Accès_Modif!114:114-"'&lt;!:7"</f>
        <v>#VALUE!</v>
      </c>
      <c r="EN15" t="e">
        <f>CR_MAD_Accès_Modif!115:115-"'&lt;!:8"</f>
        <v>#VALUE!</v>
      </c>
      <c r="EO15" t="e">
        <f>CR_MAD_Accès_Modif!116:116-"'&lt;!:9"</f>
        <v>#VALUE!</v>
      </c>
      <c r="EP15" t="e">
        <f>CR_MAD_Accès_Modif!117:117-"'&lt;!::"</f>
        <v>#VALUE!</v>
      </c>
      <c r="EQ15" t="e">
        <f>CR_MAD_Accès_Modif!118:118-"'&lt;!:;"</f>
        <v>#VALUE!</v>
      </c>
      <c r="ER15" t="e">
        <f>CR_MAD_Accès_Modif!119:119-"'&lt;!:&lt;"</f>
        <v>#VALUE!</v>
      </c>
      <c r="ES15" t="e">
        <f>CR_MAD_Accès_Modif!120:120-"'&lt;!:="</f>
        <v>#VALUE!</v>
      </c>
      <c r="ET15" t="e">
        <f>CR_MAD_Accès_Modif!121:121-"'&lt;!:&gt;"</f>
        <v>#VALUE!</v>
      </c>
      <c r="EU15" t="e">
        <f>CR_MAD_Accès_Modif!122:122-"'&lt;!:?"</f>
        <v>#VALUE!</v>
      </c>
      <c r="EV15" t="e">
        <f>CR_MAD_Accès_Modif!123:123-"'&lt;!:@"</f>
        <v>#VALUE!</v>
      </c>
      <c r="EW15" t="e">
        <f>CR_MAD_Accès_Modif!124:124-"'&lt;!:A"</f>
        <v>#VALUE!</v>
      </c>
      <c r="EX15" t="e">
        <f>CR_MAD_Accès_Modif!125:125-"'&lt;!:B"</f>
        <v>#VALUE!</v>
      </c>
      <c r="EY15" t="e">
        <f>CR_MAD_Accès_Modif!126:126-"'&lt;!:C"</f>
        <v>#VALUE!</v>
      </c>
      <c r="EZ15" t="e">
        <f>CR_MAD_Accès_Modif!127:127-"'&lt;!:D"</f>
        <v>#VALUE!</v>
      </c>
      <c r="FA15" t="e">
        <f>CR_MAD_Accès_Modif!128:128-"'&lt;!:E"</f>
        <v>#VALUE!</v>
      </c>
      <c r="FB15" t="e">
        <f>CR_MAD_Accès_Modif!129:129-"'&lt;!:F"</f>
        <v>#VALUE!</v>
      </c>
      <c r="FC15" t="e">
        <f>CR_MAD_Accès_Modif!130:130-"'&lt;!:G"</f>
        <v>#VALUE!</v>
      </c>
      <c r="FD15" t="e">
        <f>CR_MAD_Accès_Modif!131:131-"'&lt;!:H"</f>
        <v>#VALUE!</v>
      </c>
      <c r="FE15" t="e">
        <f>CR_MAD_Accès_Modif!132:132-"'&lt;!:I"</f>
        <v>#VALUE!</v>
      </c>
      <c r="FF15" t="e">
        <f>CR_MAD_Accès_Modif!133:133-"'&lt;!:J"</f>
        <v>#VALUE!</v>
      </c>
      <c r="FG15" t="e">
        <f>CR_MAD_Accès_Modif!134:134-"'&lt;!:K"</f>
        <v>#VALUE!</v>
      </c>
      <c r="FH15" t="e">
        <f>CR_MAD_Accès_Modif!135:135-"'&lt;!:L"</f>
        <v>#VALUE!</v>
      </c>
      <c r="FI15" t="e">
        <f>CR_MAD_Accès_Modif!136:136-"'&lt;!:M"</f>
        <v>#VALUE!</v>
      </c>
      <c r="FJ15" t="e">
        <f>CR_MAD_Accès_Modif!137:137-"'&lt;!:N"</f>
        <v>#VALUE!</v>
      </c>
      <c r="FK15" t="e">
        <f>CR_MAD_Accès_Modif!138:138-"'&lt;!:O"</f>
        <v>#VALUE!</v>
      </c>
      <c r="FL15" t="e">
        <f>CR_MAD_Accès_Modif!139:139-"'&lt;!:P"</f>
        <v>#VALUE!</v>
      </c>
      <c r="FM15" t="e">
        <f>CR_MAD_Accès_Modif!140:140-"'&lt;!:Q"</f>
        <v>#VALUE!</v>
      </c>
      <c r="FN15" t="e">
        <f>CR_MAD_Accès_Modif!141:141-"'&lt;!:R"</f>
        <v>#VALUE!</v>
      </c>
      <c r="FO15" t="e">
        <f>CR_MAD_Accès_Modif!142:142-"'&lt;!:S"</f>
        <v>#VALUE!</v>
      </c>
      <c r="FP15" t="e">
        <f>CR_MAD_Accès_Modif!143:143-"'&lt;!:T"</f>
        <v>#VALUE!</v>
      </c>
      <c r="FQ15" t="e">
        <f>CR_MAD_Accès_Modif!144:144-"'&lt;!:U"</f>
        <v>#VALUE!</v>
      </c>
      <c r="FR15" t="e">
        <f>CR_MAD_Accès_Modif!145:145-"'&lt;!:V"</f>
        <v>#VALUE!</v>
      </c>
      <c r="FS15" t="e">
        <f>CR_MAD_Accès_Modif!146:146-"'&lt;!:W"</f>
        <v>#VALUE!</v>
      </c>
      <c r="FT15" t="e">
        <f>CR_MAD_Accès_Modif!147:147-"'&lt;!:X"</f>
        <v>#VALUE!</v>
      </c>
      <c r="FU15" t="e">
        <f>CR_MAD_Accès_Modif!148:148-"'&lt;!:Y"</f>
        <v>#VALUE!</v>
      </c>
      <c r="FV15" t="e">
        <f>CR_MAD_Accès_Modif!149:149-"'&lt;!:Z"</f>
        <v>#VALUE!</v>
      </c>
      <c r="FW15" t="e">
        <f>CR_MAD_Accès_Modif!150:150-"'&lt;!:["</f>
        <v>#VALUE!</v>
      </c>
      <c r="FX15" t="e">
        <f>CR_MAD_Accès_Modif!151:151-"'&lt;!:\"</f>
        <v>#VALUE!</v>
      </c>
      <c r="FY15" t="e">
        <f>CR_MAD_Accès_Modif!152:152-"'&lt;!:]"</f>
        <v>#VALUE!</v>
      </c>
      <c r="FZ15" t="e">
        <f>CR_MAD_Accès_Modif!153:153-"'&lt;!:^"</f>
        <v>#VALUE!</v>
      </c>
      <c r="GA15" t="e">
        <f>CR_MAD_Accès_Modif!154:154-"'&lt;!:_"</f>
        <v>#VALUE!</v>
      </c>
      <c r="GB15" t="e">
        <f>CR_MAD_Accès_Modif!155:155-"'&lt;!:`"</f>
        <v>#VALUE!</v>
      </c>
      <c r="GC15" t="e">
        <f>CR_MAD_Accès_Modif!156:156-"'&lt;!:a"</f>
        <v>#VALUE!</v>
      </c>
      <c r="GD15" t="e">
        <f>CR_MAD_Accès_Modif!157:157-"'&lt;!:b"</f>
        <v>#VALUE!</v>
      </c>
      <c r="GE15" t="e">
        <f>CR_MAD_Accès_Modif!158:158-"'&lt;!:c"</f>
        <v>#VALUE!</v>
      </c>
      <c r="GF15" t="e">
        <f>CR_MAD_Accès_Modif!159:159-"'&lt;!:d"</f>
        <v>#VALUE!</v>
      </c>
      <c r="GG15" t="e">
        <f>CR_MAD_Accès_Modif!160:160-"'&lt;!:e"</f>
        <v>#VALUE!</v>
      </c>
      <c r="GH15" t="e">
        <f>CR_MAD_Accès_Modif!161:161-"'&lt;!:f"</f>
        <v>#VALUE!</v>
      </c>
      <c r="GI15" t="e">
        <f>CR_MAD_Accès_Modif!162:162-"'&lt;!:g"</f>
        <v>#VALUE!</v>
      </c>
      <c r="GJ15" t="e">
        <f>CR_MAD_Accès_Modif!163:163-"'&lt;!:h"</f>
        <v>#VALUE!</v>
      </c>
      <c r="GK15" t="e">
        <f>CR_MAD_Accès_Modif!164:164-"'&lt;!:i"</f>
        <v>#VALUE!</v>
      </c>
      <c r="GL15" t="e">
        <f>CR_MAD_Accès_Modif!165:165-"'&lt;!:j"</f>
        <v>#VALUE!</v>
      </c>
      <c r="GM15" t="e">
        <f>CR_MAD_Accès_Modif!166:166-"'&lt;!:k"</f>
        <v>#VALUE!</v>
      </c>
      <c r="GN15" t="e">
        <f>CR_MAD_Accès_Modif!167:167-"'&lt;!:l"</f>
        <v>#VALUE!</v>
      </c>
      <c r="GO15" t="e">
        <f>CR_MAD_Accès_Modif!168:168-"'&lt;!:m"</f>
        <v>#VALUE!</v>
      </c>
      <c r="GP15" t="e">
        <f>CR_MAD_Accès_Modif!169:169-"'&lt;!:n"</f>
        <v>#VALUE!</v>
      </c>
      <c r="GQ15" t="e">
        <f>CR_MAD_Accès_Modif!170:170-"'&lt;!:o"</f>
        <v>#VALUE!</v>
      </c>
      <c r="GR15" t="e">
        <f>CR_MAD_Accès_Modif!171:171-"'&lt;!:p"</f>
        <v>#VALUE!</v>
      </c>
      <c r="GS15" t="e">
        <f>CR_MAD_Accès_Modif!172:172-"'&lt;!:q"</f>
        <v>#VALUE!</v>
      </c>
      <c r="GT15" t="e">
        <f>CR_MAD_Accès_Modif!173:173-"'&lt;!:r"</f>
        <v>#VALUE!</v>
      </c>
      <c r="GU15" t="e">
        <f>CR_MAD_Accès_Modif!174:174-"'&lt;!:s"</f>
        <v>#VALUE!</v>
      </c>
      <c r="GV15" t="e">
        <f>CR_MAD_Accès_Modif!175:175-"'&lt;!:t"</f>
        <v>#VALUE!</v>
      </c>
      <c r="GW15" t="e">
        <f>CR_MAD_Accès_Modif!176:176-"'&lt;!:u"</f>
        <v>#VALUE!</v>
      </c>
      <c r="GX15" t="e">
        <f>CR_MAD_Accès_Modif!177:177-"'&lt;!:v"</f>
        <v>#VALUE!</v>
      </c>
      <c r="GY15" t="e">
        <f>CR_MAD_Accès_Modif!178:178-"'&lt;!:w"</f>
        <v>#VALUE!</v>
      </c>
      <c r="GZ15" t="e">
        <f>CR_MAD_Accès_Modif!179:179-"'&lt;!:x"</f>
        <v>#VALUE!</v>
      </c>
      <c r="HA15" t="e">
        <f>CR_MAD_Accès_Modif!180:180-"'&lt;!:y"</f>
        <v>#VALUE!</v>
      </c>
      <c r="HB15" t="e">
        <f>CR_MAD_Accès_Modif!181:181-"'&lt;!:z"</f>
        <v>#VALUE!</v>
      </c>
      <c r="HC15" t="e">
        <f>CR_MAD_Accès_Modif!182:182-"'&lt;!:{"</f>
        <v>#VALUE!</v>
      </c>
      <c r="HD15" t="e">
        <f>CR_MAD_Accès_Modif!183:183-"'&lt;!:|"</f>
        <v>#VALUE!</v>
      </c>
      <c r="HE15" t="e">
        <f>CR_MAD_Accès_Modif!184:184-"'&lt;!:}"</f>
        <v>#VALUE!</v>
      </c>
      <c r="HF15" t="e">
        <f>CR_MAD_Accès_Modif!185:185-"'&lt;!:~"</f>
        <v>#VALUE!</v>
      </c>
      <c r="HG15" t="e">
        <f>CR_MAD_Accès_Modif!186:186-"'&lt;!;#"</f>
        <v>#VALUE!</v>
      </c>
      <c r="HH15" t="e">
        <f>CR_MAD_Accès_Modif!187:187-"'&lt;!;$"</f>
        <v>#VALUE!</v>
      </c>
      <c r="HI15" t="e">
        <f>CR_MAD_Accès_Modif!188:188-"'&lt;!;%"</f>
        <v>#VALUE!</v>
      </c>
      <c r="HJ15" t="e">
        <f>CR_MAD_Accès_Modif!189:189-"'&lt;!;&amp;"</f>
        <v>#VALUE!</v>
      </c>
      <c r="HK15" t="e">
        <f>CR_MAD_Accès_Modif!190:190-"'&lt;!;'"</f>
        <v>#VALUE!</v>
      </c>
      <c r="HL15" t="e">
        <f>CR_MAD_Accès_Modif!191:191-"'&lt;!;("</f>
        <v>#VALUE!</v>
      </c>
      <c r="HM15" t="e">
        <f>CR_MAD_Accès_Modif!192:192-"'&lt;!;)"</f>
        <v>#VALUE!</v>
      </c>
      <c r="HN15" t="e">
        <f>CR_MAD_Accès_Modif!193:193-"'&lt;!;."</f>
        <v>#VALUE!</v>
      </c>
      <c r="HO15" t="e">
        <f>CR_MAD_Accès_Modif!194:194-"'&lt;!;/"</f>
        <v>#VALUE!</v>
      </c>
      <c r="HP15" t="e">
        <f>CR_MAD_Accès_Modif!195:195-"'&lt;!;0"</f>
        <v>#VALUE!</v>
      </c>
      <c r="HQ15" t="e">
        <f>CR_MAD_Accès_Modif!196:196-"'&lt;!;1"</f>
        <v>#VALUE!</v>
      </c>
      <c r="HR15" t="e">
        <f>CR_MAD_Accès_Modif!197:197-"'&lt;!;2"</f>
        <v>#VALUE!</v>
      </c>
      <c r="HS15" t="e">
        <f>CR_MAD_Accès_Modif!198:198-"'&lt;!;3"</f>
        <v>#VALUE!</v>
      </c>
      <c r="HT15" t="e">
        <f>CR_MAD_Accès_Modif!199:199-"'&lt;!;4"</f>
        <v>#VALUE!</v>
      </c>
      <c r="HU15" t="e">
        <f>CR_MAD_Accès_Modif!200:200-"'&lt;!;5"</f>
        <v>#VALUE!</v>
      </c>
      <c r="HV15" t="e">
        <f>CR_MAD_Accès_Modif!201:201-"'&lt;!;6"</f>
        <v>#VALUE!</v>
      </c>
      <c r="HW15" t="e">
        <f>CR_MAD_Accès_Modif!202:202-"'&lt;!;7"</f>
        <v>#VALUE!</v>
      </c>
      <c r="HX15" t="e">
        <f>CR_MAD_Accès_Modif!203:203-"'&lt;!;8"</f>
        <v>#VALUE!</v>
      </c>
      <c r="HY15" t="e">
        <f>CR_MAD_Accès_Modif!204:204-"'&lt;!;9"</f>
        <v>#VALUE!</v>
      </c>
      <c r="HZ15" t="e">
        <f>CR_MAD_Accès_Modif!205:205-"'&lt;!;:"</f>
        <v>#VALUE!</v>
      </c>
      <c r="IA15" t="e">
        <f>CR_MAD_Accès_Modif!206:206-"'&lt;!;;"</f>
        <v>#VALUE!</v>
      </c>
      <c r="IB15" t="e">
        <f>CR_MAD_Accès_Modif!207:207-"'&lt;!;&lt;"</f>
        <v>#VALUE!</v>
      </c>
      <c r="IC15" t="e">
        <f>CR_MAD_Accès_Modif!208:208-"'&lt;!;="</f>
        <v>#VALUE!</v>
      </c>
      <c r="ID15" t="e">
        <f>CR_MAD_Accès_Modif!209:209-"'&lt;!;&gt;"</f>
        <v>#VALUE!</v>
      </c>
      <c r="IE15" t="e">
        <f>CR_MAD_Accès_Modif!210:210-"'&lt;!;?"</f>
        <v>#VALUE!</v>
      </c>
      <c r="IF15" t="e">
        <f>CR_MAD_Accès_Modif!211:211-"'&lt;!;@"</f>
        <v>#VALUE!</v>
      </c>
      <c r="IG15" t="e">
        <f>CR_MAD_Accès_Modif!212:212-"'&lt;!;A"</f>
        <v>#VALUE!</v>
      </c>
      <c r="IH15" t="e">
        <f>CR_MAD_Accès_Modif!213:213-"'&lt;!;B"</f>
        <v>#VALUE!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6" ma:contentTypeDescription="Create a new document." ma:contentTypeScope="" ma:versionID="a0bff345877b7a8e6a03c886d8fcaa2a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1acdc0e9859b5ad775804b468bfae51f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FD999553-F156-452A-BC02-F46311FADD88}"/>
</file>

<file path=customXml/itemProps2.xml><?xml version="1.0" encoding="utf-8"?>
<ds:datastoreItem xmlns:ds="http://schemas.openxmlformats.org/officeDocument/2006/customXml" ds:itemID="{C7526E8C-5F27-4693-AFBA-27396FB151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960A57-32CD-49D3-B8C1-24B32E367F65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page de garde</vt:lpstr>
      <vt:lpstr>Codification - type KO</vt:lpstr>
      <vt:lpstr>Cmd_Acces_Modif</vt:lpstr>
      <vt:lpstr>AR_Cmd_Acces_Modif</vt:lpstr>
      <vt:lpstr>CR_Cmd_Acces_Modif</vt:lpstr>
      <vt:lpstr>CR_MAD_Accès_Modif</vt:lpstr>
      <vt:lpstr>'Codification - type KO'!Impression_des_titres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Patrick CHALUMET</cp:lastModifiedBy>
  <cp:lastPrinted>2020-06-04T09:52:07Z</cp:lastPrinted>
  <dcterms:created xsi:type="dcterms:W3CDTF">2009-06-29T09:37:05Z</dcterms:created>
  <dcterms:modified xsi:type="dcterms:W3CDTF">2023-10-25T10:19:12Z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Offisync_ServerID">
    <vt:lpwstr>1abe28f6-4eb5-42e6-bbff-1356c852cf7b</vt:lpwstr>
  </property>
  <property fmtid="{D5CDD505-2E9C-101B-9397-08002B2CF9AE}" pid="4" name="Offisync_UniqueId">
    <vt:lpwstr>1541779</vt:lpwstr>
  </property>
  <property fmtid="{D5CDD505-2E9C-101B-9397-08002B2CF9AE}" pid="5" name="Jive_VersionGuid">
    <vt:lpwstr>e3a97c57-2120-4c16-bc89-bb9ad7470d79</vt:lpwstr>
  </property>
  <property fmtid="{D5CDD505-2E9C-101B-9397-08002B2CF9AE}" pid="6" name="Jive_LatestUserAccountName">
    <vt:lpwstr>olivier.trouche@orange.com</vt:lpwstr>
  </property>
  <property fmtid="{D5CDD505-2E9C-101B-9397-08002B2CF9AE}" pid="7" name="Offisync_UpdateToken">
    <vt:lpwstr>4</vt:lpwstr>
  </property>
  <property fmtid="{D5CDD505-2E9C-101B-9397-08002B2CF9AE}" pid="8" name="Offisync_ProviderInitializationData">
    <vt:lpwstr>https://plazza.orange.com/</vt:lpwstr>
  </property>
  <property fmtid="{D5CDD505-2E9C-101B-9397-08002B2CF9AE}" pid="9" name="Jive_ModifiedButNotPublished">
    <vt:lpwstr>False</vt:lpwstr>
  </property>
  <property fmtid="{D5CDD505-2E9C-101B-9397-08002B2CF9AE}" pid="10" name="Jive_PrevVersionNumber">
    <vt:lpwstr>3</vt:lpwstr>
  </property>
  <property fmtid="{D5CDD505-2E9C-101B-9397-08002B2CF9AE}" pid="11" name="Jive_VersionGuid_v2.5">
    <vt:lpwstr>1d75e910cee14e22ab9b63d520af022d</vt:lpwstr>
  </property>
  <property fmtid="{D5CDD505-2E9C-101B-9397-08002B2CF9AE}" pid="12" name="Jive_LatestFileFullName">
    <vt:lpwstr>2895e1e5368afa30d8844f9ec6ef6e5f</vt:lpwstr>
  </property>
  <property fmtid="{D5CDD505-2E9C-101B-9397-08002B2CF9AE}" pid="13" name="ContentTypeId">
    <vt:lpwstr>0x0101006DBAD82D2BE66242B9E848AC08CBAD11</vt:lpwstr>
  </property>
  <property fmtid="{D5CDD505-2E9C-101B-9397-08002B2CF9AE}" pid="14" name="MediaServiceImageTags">
    <vt:lpwstr/>
  </property>
</Properties>
</file>